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855DC2B4-76B1-4FCA-8897-18A289D0FDD8}" xr6:coauthVersionLast="47" xr6:coauthVersionMax="47" xr10:uidLastSave="{00000000-0000-0000-0000-000000000000}"/>
  <bookViews>
    <workbookView xWindow="-108" yWindow="-108" windowWidth="23256" windowHeight="12720" xr2:uid="{58EE2ACE-C75A-4EFC-AE72-C38404A78259}"/>
  </bookViews>
  <sheets>
    <sheet name="5 " sheetId="1" r:id="rId1"/>
  </sheets>
  <externalReferences>
    <externalReference r:id="rId2"/>
  </externalReferences>
  <definedNames>
    <definedName name="newbasicPB4">[1]Sheet1!$T$4:$T$37</definedName>
    <definedName name="oldbasicPB4">[1]Sheet1!$S$4:$S$37</definedName>
    <definedName name="_xlnm.Print_Area" localSheetId="0">'5 '!$A$1:$I$55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 i="1" l="1"/>
  <c r="G5" i="1"/>
  <c r="G8" i="1"/>
  <c r="L8" i="1"/>
  <c r="G4" i="1" s="1"/>
  <c r="G7" i="1" s="1"/>
  <c r="G9" i="1" s="1"/>
  <c r="H10" i="1" s="1"/>
  <c r="M8" i="1"/>
  <c r="G12" i="1"/>
  <c r="G13" i="1"/>
  <c r="G14" i="1"/>
  <c r="F15" i="1"/>
  <c r="G16" i="1" s="1"/>
  <c r="G17" i="1" s="1"/>
  <c r="H18" i="1" s="1"/>
  <c r="F16" i="1"/>
  <c r="G18" i="1"/>
  <c r="H21" i="1"/>
  <c r="G23" i="1"/>
  <c r="C24" i="1"/>
  <c r="G24" i="1"/>
  <c r="H28" i="1" s="1"/>
  <c r="C25" i="1"/>
  <c r="L25" i="1"/>
  <c r="G25" i="1" s="1"/>
  <c r="F33" i="1" s="1"/>
  <c r="G33" i="1" s="1"/>
  <c r="H36" i="1" s="1"/>
  <c r="B26" i="1"/>
  <c r="C26" i="1"/>
  <c r="G26" i="1"/>
  <c r="C27" i="1"/>
  <c r="G27" i="1"/>
  <c r="B28" i="1"/>
  <c r="G28" i="1"/>
  <c r="E40" i="1" s="1"/>
  <c r="G40" i="1" s="1"/>
  <c r="D32" i="1"/>
  <c r="F32" i="1"/>
  <c r="D33" i="1"/>
  <c r="K33" i="1"/>
  <c r="M33" i="1"/>
  <c r="G34" i="1"/>
  <c r="L53" i="1" s="1"/>
  <c r="A36" i="1"/>
  <c r="M38" i="1"/>
  <c r="M39" i="1"/>
  <c r="H47" i="1"/>
  <c r="L47" i="1"/>
  <c r="H54" i="1"/>
  <c r="D90" i="1"/>
  <c r="D94" i="1"/>
  <c r="D96" i="1" s="1"/>
  <c r="E101" i="1"/>
  <c r="G101" i="1" s="1"/>
  <c r="C110" i="1"/>
  <c r="E118" i="1" s="1"/>
  <c r="E120" i="1"/>
  <c r="E122" i="1"/>
  <c r="K128" i="1"/>
  <c r="E127" i="1" l="1"/>
  <c r="E114" i="1"/>
  <c r="L52" i="1"/>
  <c r="M53" i="1" s="1"/>
  <c r="M54" i="1" s="1"/>
  <c r="H30" i="1"/>
  <c r="E37" i="1" s="1"/>
  <c r="H37" i="1" s="1"/>
  <c r="G42" i="1" l="1"/>
  <c r="E39" i="1"/>
  <c r="M55" i="1"/>
  <c r="M56" i="1" s="1"/>
  <c r="M57" i="1" l="1"/>
  <c r="G39" i="1"/>
  <c r="G41" i="1" s="1"/>
  <c r="H42" i="1" s="1"/>
  <c r="M40" i="1"/>
  <c r="M41" i="1" s="1"/>
  <c r="H43" i="1" l="1"/>
  <c r="H44" i="1" s="1"/>
  <c r="H45" i="1" l="1"/>
  <c r="H46" i="1" s="1"/>
  <c r="H49" i="1" l="1"/>
  <c r="H55" i="1" s="1"/>
  <c r="B55" i="1" s="1"/>
  <c r="E100" i="1"/>
  <c r="E102" i="1" s="1"/>
  <c r="E103" i="1" s="1"/>
  <c r="G100" i="1"/>
  <c r="E126" i="1" l="1"/>
  <c r="E132" i="1" s="1"/>
  <c r="E133" i="1" s="1"/>
  <c r="H127" i="1" s="1"/>
  <c r="G102" i="1"/>
  <c r="G103" i="1" s="1"/>
  <c r="E113" i="1"/>
  <c r="E115" i="1" s="1"/>
  <c r="E106" i="1"/>
  <c r="F106" i="1" s="1"/>
  <c r="G106" i="1" s="1"/>
  <c r="H106" i="1" s="1"/>
  <c r="E105" i="1"/>
  <c r="F105" i="1" s="1"/>
  <c r="G105" i="1" s="1"/>
  <c r="H105" i="1" s="1"/>
  <c r="E119" i="1" l="1"/>
  <c r="E117" i="1"/>
  <c r="E107" i="1"/>
  <c r="F107" i="1" s="1"/>
  <c r="G107" i="1" s="1"/>
  <c r="H107" i="1" s="1"/>
  <c r="H110" i="1" s="1"/>
  <c r="E108" i="1"/>
  <c r="F108" i="1" s="1"/>
  <c r="G108" i="1" s="1"/>
  <c r="H108" i="1" s="1"/>
  <c r="H128" i="1"/>
  <c r="H129" i="1" s="1"/>
  <c r="K129" i="1"/>
  <c r="H132" i="1"/>
  <c r="K105" i="1" l="1"/>
  <c r="E123" i="1"/>
  <c r="F123" i="1" s="1"/>
  <c r="H113" i="1" s="1"/>
  <c r="F119" i="1"/>
  <c r="H114" i="1" l="1"/>
  <c r="K107" i="1"/>
  <c r="K106" i="1"/>
  <c r="H115" i="1" l="1"/>
  <c r="H116" i="1"/>
  <c r="H117" i="1"/>
  <c r="H118" i="1" s="1"/>
  <c r="H119" i="1" s="1"/>
  <c r="K116" i="1" s="1"/>
  <c r="K117" i="1" s="1"/>
  <c r="H122" i="1"/>
  <c r="H9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1FEF56FB-DF1D-4072-A55D-60154FFEA739}">
      <text>
        <r>
          <rPr>
            <b/>
            <sz val="8"/>
            <color indexed="81"/>
            <rFont val="Tahoma"/>
            <family val="2"/>
          </rPr>
          <t>RATHORE:</t>
        </r>
        <r>
          <rPr>
            <sz val="8"/>
            <color indexed="81"/>
            <rFont val="Tahoma"/>
            <family val="2"/>
          </rPr>
          <t xml:space="preserve">
</t>
        </r>
      </text>
    </comment>
    <comment ref="C51" authorId="0" shapeId="0" xr:uid="{6F67621D-4941-4760-8C1B-A0D3A006682C}">
      <text>
        <r>
          <rPr>
            <b/>
            <sz val="8"/>
            <color indexed="81"/>
            <rFont val="Tahoma"/>
            <family val="2"/>
          </rPr>
          <t>RATHORE:</t>
        </r>
        <r>
          <rPr>
            <sz val="8"/>
            <color indexed="81"/>
            <rFont val="Tahoma"/>
            <family val="2"/>
          </rPr>
          <t xml:space="preserve">
</t>
        </r>
      </text>
    </comment>
    <comment ref="B55" authorId="0" shapeId="0" xr:uid="{3101560B-96D3-47A4-9E74-8E9234998AC4}">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<sst xmlns="http://schemas.openxmlformats.org/spreadsheetml/2006/main" count="234" uniqueCount="217">
  <si>
    <t>Diff</t>
  </si>
  <si>
    <t>Less Self-Assessment Tax on 17-04-22</t>
  </si>
  <si>
    <t>Add Interest u/s 234B till 30-04-2022</t>
  </si>
  <si>
    <t xml:space="preserve">Dec </t>
  </si>
  <si>
    <t>Add Interest u/s 234C till 31-03-2022</t>
  </si>
  <si>
    <t xml:space="preserve">Nov </t>
  </si>
  <si>
    <t>Less Advance tax paid by 31-03-2022</t>
  </si>
  <si>
    <t>Interest u/s 234A</t>
  </si>
  <si>
    <t xml:space="preserve">Month </t>
  </si>
  <si>
    <t>Less TDS by the Employer, Bank</t>
  </si>
  <si>
    <t>Interest</t>
  </si>
  <si>
    <t>Total Tax, Surcharge &amp; Cess</t>
  </si>
  <si>
    <t>Section 234A:  If Amount Exceeds Rs. 100000</t>
  </si>
  <si>
    <t>Tax Liability after Self-Assessment Tax</t>
  </si>
  <si>
    <t xml:space="preserve">Net Amt Paid </t>
  </si>
  <si>
    <t xml:space="preserve">Adjusted for  Intt u/s 234C  </t>
  </si>
  <si>
    <t xml:space="preserve">Self-Assessment Tax Paid </t>
  </si>
  <si>
    <t xml:space="preserve">Tax Liability after Advance Tax </t>
  </si>
  <si>
    <t>Advance Tax   till 31-03-2022</t>
  </si>
  <si>
    <t xml:space="preserve"> Tax Liability after TDS</t>
  </si>
  <si>
    <t>Interest u/s 234B</t>
  </si>
  <si>
    <t>Section 234B:  If  Amount Exceeds Rs. 10000 (Less than 90 %.....)</t>
  </si>
  <si>
    <t>Lottery (16/10/21)</t>
  </si>
  <si>
    <t>Oct</t>
  </si>
  <si>
    <t>Interest u/s 234C</t>
  </si>
  <si>
    <t xml:space="preserve">Shortfall </t>
  </si>
  <si>
    <t>Round Down by 100</t>
  </si>
  <si>
    <t xml:space="preserve">Amount </t>
  </si>
  <si>
    <t>Last Date</t>
  </si>
  <si>
    <t xml:space="preserve">Tax Amount </t>
  </si>
  <si>
    <t>Deposit Date</t>
  </si>
  <si>
    <t xml:space="preserve">Liability for Advance tax </t>
  </si>
  <si>
    <t>Section 234C: In case of Non-Sr Citizen: If  Amount Exceeds Rs. 10000</t>
  </si>
  <si>
    <t>Total Interest</t>
  </si>
  <si>
    <r>
      <t xml:space="preserve">Calculation  of Interest under Sections 234A, 234B &amp; 234C </t>
    </r>
    <r>
      <rPr>
        <b/>
        <sz val="9"/>
        <color rgb="FFC00000"/>
        <rFont val="Arial"/>
        <family val="2"/>
      </rPr>
      <t xml:space="preserve">(Old Regime) </t>
    </r>
  </si>
  <si>
    <t xml:space="preserve">Sec 17 (3) Profit In lieu of Salary </t>
  </si>
  <si>
    <t>Others</t>
  </si>
  <si>
    <t xml:space="preserve">Car </t>
  </si>
  <si>
    <t xml:space="preserve">Accommodation </t>
  </si>
  <si>
    <t xml:space="preserve">Sec 17 (2) Perks </t>
  </si>
  <si>
    <t>Other Allowances</t>
  </si>
  <si>
    <t>Children Edu Allowance</t>
  </si>
  <si>
    <t>Leave Travel Allowance</t>
  </si>
  <si>
    <t>Sec 10(14)(iI) CEA</t>
  </si>
  <si>
    <t>House Rent Allowance</t>
  </si>
  <si>
    <t xml:space="preserve">Sec 10(14)(i) Conveyance </t>
  </si>
  <si>
    <t>Conveyance Allowance</t>
  </si>
  <si>
    <t>Employment Tax</t>
  </si>
  <si>
    <t>Sec 10(13A) HRA</t>
  </si>
  <si>
    <t>Dearness Allowance</t>
  </si>
  <si>
    <t xml:space="preserve">Std Ded  u/s 16 (ia) </t>
  </si>
  <si>
    <t xml:space="preserve">Sec 10(5) Leave Travel </t>
  </si>
  <si>
    <t xml:space="preserve">Basic Salary </t>
  </si>
  <si>
    <t xml:space="preserve">Less Deds u/s 16 </t>
  </si>
  <si>
    <t>Less Allowances u/s 10</t>
  </si>
  <si>
    <t xml:space="preserve">Sec 17 (1) </t>
  </si>
  <si>
    <t xml:space="preserve">Rs. 3200 per month </t>
  </si>
  <si>
    <t>Transport Allow (Sec 80U)</t>
  </si>
  <si>
    <t xml:space="preserve">Rs. 4200 per month </t>
  </si>
  <si>
    <t xml:space="preserve">Highly Active Field </t>
  </si>
  <si>
    <t xml:space="preserve">Rs. 3250 per month  (Andaman &amp; Nocobar;  Lakshadweep) </t>
  </si>
  <si>
    <t xml:space="preserve">Island Duty Allowance </t>
  </si>
  <si>
    <t xml:space="preserve">Rs. 1060 per month (Altitude 9000 to 15000 feet); 1600 pm (Above 15000 Feet) </t>
  </si>
  <si>
    <t xml:space="preserve">High Altitude Allowance </t>
  </si>
  <si>
    <t>Rs. 200 per month</t>
  </si>
  <si>
    <t>Tribal Area/Scheduled Area</t>
  </si>
  <si>
    <t>Range Rs. 200 per month to Rs. 1300 per month</t>
  </si>
  <si>
    <t>Border Area Allowance</t>
  </si>
  <si>
    <t>Rs. 300 per month per child subject to max of  2 Children</t>
  </si>
  <si>
    <t>Hostel Expenditure Allow</t>
  </si>
  <si>
    <t>Rs. 100 per month per child subject to max of  2 Children</t>
  </si>
  <si>
    <t>Children Education  Allow</t>
  </si>
  <si>
    <t>Lower of (a) Allowance Amount or (b) Amount specified in Rule 2BB</t>
  </si>
  <si>
    <t>Sec 10(14)(ii) : Exemption not dependent upon Actual Expenditure</t>
  </si>
  <si>
    <t xml:space="preserve">Granted </t>
  </si>
  <si>
    <t xml:space="preserve">Sec 10(14) : Special Allowances prescribed as exempt </t>
  </si>
  <si>
    <t>for Clause © Provided that free conveyance is not provided by the employer;</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</si>
  <si>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</si>
  <si>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Uniform</t>
  </si>
  <si>
    <t>any allowance granted to meet the expenditure incurred on the purchase or maintenance of uniform for wear during the performance of the duties of an office or employment of profit.</t>
  </si>
  <si>
    <r>
      <t>(</t>
    </r>
    <r>
      <rPr>
        <i/>
        <sz val="9"/>
        <color rgb="FF3E3E3E"/>
        <rFont val="Arial"/>
        <family val="2"/>
      </rPr>
      <t>f</t>
    </r>
    <r>
      <rPr>
        <sz val="9"/>
        <color rgb="FF3E3E3E"/>
        <rFont val="Arial"/>
        <family val="2"/>
      </rPr>
      <t>)</t>
    </r>
  </si>
  <si>
    <t>Research</t>
  </si>
  <si>
    <t>any allowance granted for encouraging the academic, research and training pursuits in educational and research institutions;</t>
  </si>
  <si>
    <r>
      <t>(</t>
    </r>
    <r>
      <rPr>
        <i/>
        <sz val="9"/>
        <color rgb="FF3E3E3E"/>
        <rFont val="Arial"/>
        <family val="2"/>
      </rPr>
      <t>e</t>
    </r>
    <r>
      <rPr>
        <sz val="9"/>
        <color rgb="FF3E3E3E"/>
        <rFont val="Arial"/>
        <family val="2"/>
      </rPr>
      <t>)</t>
    </r>
  </si>
  <si>
    <t>Helper</t>
  </si>
  <si>
    <t>any allowance granted to meet the expenditure incurred on a helper where such helper is engaged for the performance of the duties of an office or employment of profit;</t>
  </si>
  <si>
    <r>
      <t>(</t>
    </r>
    <r>
      <rPr>
        <i/>
        <sz val="9"/>
        <color rgb="FF3E3E3E"/>
        <rFont val="Arial"/>
        <family val="2"/>
      </rPr>
      <t>d</t>
    </r>
    <r>
      <rPr>
        <sz val="9"/>
        <color rgb="FF3E3E3E"/>
        <rFont val="Arial"/>
        <family val="2"/>
      </rPr>
      <t>)</t>
    </r>
  </si>
  <si>
    <t xml:space="preserve">Daily </t>
  </si>
  <si>
    <t>any allowance granted to meet the expenditure incurred on con-veyance in performance of duties of an office or employment of profit :</t>
  </si>
  <si>
    <r>
      <t>(</t>
    </r>
    <r>
      <rPr>
        <i/>
        <sz val="9"/>
        <color rgb="FF3E3E3E"/>
        <rFont val="Arial"/>
        <family val="2"/>
      </rPr>
      <t>c</t>
    </r>
    <r>
      <rPr>
        <sz val="9"/>
        <color rgb="FF3E3E3E"/>
        <rFont val="Arial"/>
        <family val="2"/>
      </rPr>
      <t>)</t>
    </r>
  </si>
  <si>
    <t>Conveyance</t>
  </si>
  <si>
    <t>any allowance, whether, granted on tour or for the period of journey in connection with transfer, to meet the ordinary daily charges incurred by an employee on account of absence from his normal place of duty;</t>
  </si>
  <si>
    <r>
      <t>(</t>
    </r>
    <r>
      <rPr>
        <i/>
        <sz val="9"/>
        <color rgb="FF3E3E3E"/>
        <rFont val="Arial"/>
        <family val="2"/>
      </rPr>
      <t>b</t>
    </r>
    <r>
      <rPr>
        <sz val="9"/>
        <color rgb="FF3E3E3E"/>
        <rFont val="Arial"/>
        <family val="2"/>
      </rPr>
      <t>)</t>
    </r>
  </si>
  <si>
    <t>Travelling / Tour</t>
  </si>
  <si>
    <t>any allowance granted to meet the cost of travel on tour or on transfer;</t>
  </si>
  <si>
    <r>
      <t>(</t>
    </r>
    <r>
      <rPr>
        <i/>
        <sz val="9"/>
        <color rgb="FF3E3E3E"/>
        <rFont val="Arial"/>
        <family val="2"/>
      </rPr>
      <t>a</t>
    </r>
    <r>
      <rPr>
        <sz val="9"/>
        <color rgb="FF3E3E3E"/>
        <rFont val="Arial"/>
        <family val="2"/>
      </rPr>
      <t>)</t>
    </r>
  </si>
  <si>
    <t xml:space="preserve">Lower of (a) Allowance Amount or (b) Amount spent for specific purose </t>
  </si>
  <si>
    <t>Sec 10(14)(i) : Exemption depend upon Actual Expenditure by the Employee</t>
  </si>
  <si>
    <t>Granted &amp; Incurred</t>
  </si>
  <si>
    <t>YouTube: Tax Doctor</t>
  </si>
  <si>
    <t xml:space="preserve">FaceBook: DrSB Rathore </t>
  </si>
  <si>
    <t>Website: www.taxclasses.in</t>
  </si>
  <si>
    <t xml:space="preserve">HEC </t>
  </si>
  <si>
    <t xml:space="preserve">Tax Cals by Dr SB Rathore, Former Associate Professor of Commerce;  42 yrs Teaching Experience (Oct-77 to Dec-19) in Shyam Lal College (University of Delhi) </t>
  </si>
  <si>
    <t xml:space="preserve">Surcharge </t>
  </si>
  <si>
    <t>Rounding Off u/s 288B</t>
  </si>
  <si>
    <t xml:space="preserve">Income Tax </t>
  </si>
  <si>
    <t>Deds 80C_80CCD (1B)</t>
  </si>
  <si>
    <t>Jagatpur Lottery Authority</t>
  </si>
  <si>
    <r>
      <t xml:space="preserve">T. D. S.  U/S </t>
    </r>
    <r>
      <rPr>
        <sz val="10"/>
        <color theme="9" tint="-0.249977111117893"/>
        <rFont val="Arial Narrow"/>
        <family val="2"/>
      </rPr>
      <t>194B</t>
    </r>
  </si>
  <si>
    <t xml:space="preserve">Salary after Std Deduction </t>
  </si>
  <si>
    <t>Tata Overseas Computers Ltd</t>
  </si>
  <si>
    <r>
      <t xml:space="preserve">T. D. S.  U/S </t>
    </r>
    <r>
      <rPr>
        <sz val="10"/>
        <color theme="9" tint="-0.249977111117893"/>
        <rFont val="Arial Narrow"/>
        <family val="2"/>
      </rPr>
      <t xml:space="preserve">192 </t>
    </r>
  </si>
  <si>
    <t>TDS to be deducted  by the Employer</t>
  </si>
  <si>
    <t>Self-Assessment Tax Paid  U/S 140A</t>
  </si>
  <si>
    <t xml:space="preserve">TAX PAID U/S 199 : </t>
  </si>
  <si>
    <t>TOTAL TAX AND INTEREST PAYABLE</t>
  </si>
  <si>
    <t xml:space="preserve">Loan to Purchase car </t>
  </si>
  <si>
    <t>Aug-Dec 2022</t>
  </si>
  <si>
    <t xml:space="preserve">ADD : Late Fees U/S 234F </t>
  </si>
  <si>
    <t>Interest till the Month of making Video i.e Oct-2022</t>
  </si>
  <si>
    <t xml:space="preserve">ADD : INTEREST U/S 234A, 234B &amp; 234C </t>
  </si>
  <si>
    <t>Cash in Hand</t>
  </si>
  <si>
    <r>
      <t>TOTAL TAX PAYABLE</t>
    </r>
    <r>
      <rPr>
        <sz val="10"/>
        <color theme="1"/>
        <rFont val="Arial"/>
        <family val="2"/>
      </rPr>
      <t xml:space="preserve"> (including Surcharge &amp; Cesses) </t>
    </r>
  </si>
  <si>
    <t>Motor Car (i20) purchased 2016-17</t>
  </si>
  <si>
    <t xml:space="preserve">ADD : HEALTH &amp; EDUCATION CESS (4 % on Income Tax + Surcharge) </t>
  </si>
  <si>
    <t>Resi House Property (Let-Out)</t>
  </si>
  <si>
    <t xml:space="preserve">Acq Cost </t>
  </si>
  <si>
    <t>Details of Assets &amp; Liabilities</t>
  </si>
  <si>
    <r>
      <t xml:space="preserve">ADD : SURCHARGE  </t>
    </r>
    <r>
      <rPr>
        <sz val="8"/>
        <color theme="1"/>
        <rFont val="Arial"/>
        <family val="2"/>
      </rPr>
      <t>(10 % / 15% / 25% / 37%)</t>
    </r>
  </si>
  <si>
    <r>
      <t xml:space="preserve">LESS : REBATE  </t>
    </r>
    <r>
      <rPr>
        <sz val="8"/>
        <color theme="1"/>
        <rFont val="Arial Narrow"/>
        <family val="2"/>
      </rPr>
      <t>(Rs. 12500, if Total Income upto Rs. 5 Lakhs)</t>
    </r>
  </si>
  <si>
    <t>Sec 87A</t>
  </si>
  <si>
    <t xml:space="preserve">      Above   1000,000</t>
  </si>
  <si>
    <t>SPECIAL INCOME</t>
  </si>
  <si>
    <t xml:space="preserve">Lottery </t>
  </si>
  <si>
    <t>500,000 to 1000,000</t>
  </si>
  <si>
    <t>NORMAL INCOME</t>
  </si>
  <si>
    <t>250,000  to  500,000</t>
  </si>
  <si>
    <t>TAX</t>
  </si>
  <si>
    <t>RATE</t>
  </si>
  <si>
    <t xml:space="preserve">INCOME  </t>
  </si>
  <si>
    <t xml:space="preserve">TAX ON TOTAL INCOME </t>
  </si>
  <si>
    <t xml:space="preserve">Income tax </t>
  </si>
  <si>
    <t>Rounding Off u/s 288A</t>
  </si>
  <si>
    <t xml:space="preserve">TOTAL  INCOME </t>
  </si>
  <si>
    <t>SB Interest</t>
  </si>
  <si>
    <t>Sec 80TTA</t>
  </si>
  <si>
    <r>
      <t xml:space="preserve">Medical Ins Prem - Sasu &amp; Sasura </t>
    </r>
    <r>
      <rPr>
        <sz val="9"/>
        <color theme="3" tint="-0.249977111117893"/>
        <rFont val="Arial"/>
        <family val="2"/>
      </rPr>
      <t xml:space="preserve">(Sr Citizens) </t>
    </r>
  </si>
  <si>
    <t xml:space="preserve">Nil </t>
  </si>
  <si>
    <t xml:space="preserve">Mediclaim    In-Laws Not  allowed </t>
  </si>
  <si>
    <t>Sec 80D</t>
  </si>
  <si>
    <t xml:space="preserve">NPS </t>
  </si>
  <si>
    <r>
      <t xml:space="preserve">Sec  80CCD(1) </t>
    </r>
    <r>
      <rPr>
        <sz val="9"/>
        <color theme="1"/>
        <rFont val="Arial"/>
        <family val="2"/>
      </rPr>
      <t>New Pension Scheme</t>
    </r>
  </si>
  <si>
    <t>Prov Fund</t>
  </si>
  <si>
    <t xml:space="preserve">Sec 80C </t>
  </si>
  <si>
    <t xml:space="preserve">LESS: DEDUCTIONS UNDER CHAPTER VI-A </t>
  </si>
  <si>
    <t>GROSS TOTAL INCOME</t>
  </si>
  <si>
    <t xml:space="preserve">Lottery  (Net of TDS @ 30%) </t>
  </si>
  <si>
    <t>2(a)</t>
  </si>
  <si>
    <t xml:space="preserve">Lottery  (Gross Rs.  35000 * 100 / 70)  </t>
  </si>
  <si>
    <t xml:space="preserve">Intt on Income Tax Refund </t>
  </si>
  <si>
    <t xml:space="preserve">Dividend (No TDS) </t>
  </si>
  <si>
    <t>Accrued Intt on NSCs (01-01-19)</t>
  </si>
  <si>
    <t>Interest on Loan given  to Friend</t>
  </si>
  <si>
    <t xml:space="preserve">Saving Bank Interest </t>
  </si>
  <si>
    <r>
      <t xml:space="preserve">OTHER SOURCES </t>
    </r>
    <r>
      <rPr>
        <sz val="10"/>
        <color theme="1"/>
        <rFont val="Arial"/>
        <family val="2"/>
      </rPr>
      <t>U/S 56-59</t>
    </r>
  </si>
  <si>
    <t xml:space="preserve">LONG TERM CAPITAL GAIN </t>
  </si>
  <si>
    <t>SHORT TERM CAPITAL GAIN</t>
  </si>
  <si>
    <r>
      <t xml:space="preserve">CAPITAL GAINS </t>
    </r>
    <r>
      <rPr>
        <sz val="10"/>
        <color theme="1"/>
        <rFont val="Arial"/>
        <family val="2"/>
      </rPr>
      <t>U/S 45 - 55</t>
    </r>
  </si>
  <si>
    <t>Less House Property Loss B/f (AY 2021-22)</t>
  </si>
  <si>
    <t>HP Loss B/f AY 2021-22 (Filed on 15-06-21, Due Date 31-12-21)</t>
  </si>
  <si>
    <t xml:space="preserve">Intt on H  Loan </t>
  </si>
  <si>
    <t>Interest on Housing Loan to Purchase Property</t>
  </si>
  <si>
    <t xml:space="preserve">Std Ded 30% </t>
  </si>
  <si>
    <t>LESS: Deduction</t>
  </si>
  <si>
    <t>Sec 24</t>
  </si>
  <si>
    <t xml:space="preserve">Municipal Taxes Paid </t>
  </si>
  <si>
    <t xml:space="preserve">Rent Received (No TDS) </t>
  </si>
  <si>
    <t xml:space="preserve">Less  Municipal Taxes Paid </t>
  </si>
  <si>
    <t xml:space="preserve">Annual Value </t>
  </si>
  <si>
    <t>Let-Out</t>
  </si>
  <si>
    <r>
      <t xml:space="preserve">HOUSE PROPERTY </t>
    </r>
    <r>
      <rPr>
        <sz val="10"/>
        <color theme="1"/>
        <rFont val="Arial"/>
        <family val="2"/>
      </rPr>
      <t>U/S 22-27</t>
    </r>
  </si>
  <si>
    <t>Less Standard  Deduction</t>
  </si>
  <si>
    <t>Sec 16(ia)</t>
  </si>
  <si>
    <t xml:space="preserve">Leave Travel Concession </t>
  </si>
  <si>
    <t>10(5)</t>
  </si>
  <si>
    <t xml:space="preserve">Net Salary </t>
  </si>
  <si>
    <t>Aug-Dec 22</t>
  </si>
  <si>
    <t xml:space="preserve">Less Exempt Allow </t>
  </si>
  <si>
    <t>Sec 10</t>
  </si>
  <si>
    <t>Late Fees</t>
  </si>
  <si>
    <t>Leave Salary</t>
  </si>
  <si>
    <t xml:space="preserve">Gross Salary </t>
  </si>
  <si>
    <t>Transport Allowance</t>
  </si>
  <si>
    <t xml:space="preserve">Profit in lieu of Salary </t>
  </si>
  <si>
    <t>Sec 17(3)</t>
  </si>
  <si>
    <t>Calculations</t>
  </si>
  <si>
    <t>Children Education Allowance</t>
  </si>
  <si>
    <t>10(14)14(ii)</t>
  </si>
  <si>
    <t xml:space="preserve">Value of Perquisites </t>
  </si>
  <si>
    <t>Sec 17(2)</t>
  </si>
  <si>
    <t>10(13A)</t>
  </si>
  <si>
    <t>Basic Salary and Allowances</t>
  </si>
  <si>
    <t>Sec 17(1)</t>
  </si>
  <si>
    <t xml:space="preserve">Due date </t>
  </si>
  <si>
    <t>10(14)(i)</t>
  </si>
  <si>
    <t>Amount (Rs.)</t>
  </si>
  <si>
    <r>
      <t xml:space="preserve">SALARIES </t>
    </r>
    <r>
      <rPr>
        <sz val="10"/>
        <color theme="1"/>
        <rFont val="Arial"/>
        <family val="2"/>
      </rPr>
      <t>U/S 15-17</t>
    </r>
  </si>
  <si>
    <t>Ram Singh Anand</t>
  </si>
  <si>
    <t>Pg 551</t>
  </si>
  <si>
    <t>Case Study-5</t>
  </si>
  <si>
    <t>67th Edition:  August-2022</t>
  </si>
  <si>
    <t>Filing Date</t>
  </si>
  <si>
    <t>Exempted</t>
  </si>
  <si>
    <t>Case 5  (Lottery, HP Loss  B/f )</t>
  </si>
  <si>
    <t xml:space="preserve">A S S E S S M E N T   Y E A R  :  2 0 2 2 - 2 3 </t>
  </si>
  <si>
    <t>Dr. V.K. Singhania's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</si>
</sst>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1" x14ac:knownFonts="1">
    <font>
      <sz val="10"/>
      <name val="Arial"/>
      <family val="2"/>
    </font>
    <font>
      <sz val="10"/>
      <name val="Arial"/>
      <family val="2"/>
    </font>
    <font>
      <sz val="10"/>
      <color theme="1"/>
      <name val="Arial"/>
      <family val="2"/>
    </font>
    <font>
      <sz val="8"/>
      <color theme="1"/>
      <name val="Arial"/>
      <family val="2"/>
    </font>
    <font>
      <b/>
      <sz val="10"/>
      <name val="Arial"/>
      <family val="2"/>
    </font>
    <font>
      <i/>
      <sz val="9"/>
      <color rgb="FFC00000"/>
      <name val="Arial"/>
      <family val="2"/>
    </font>
    <font>
      <sz val="9"/>
      <name val="Arial"/>
      <family val="2"/>
    </font>
    <font>
      <sz val="10"/>
      <color rgb="FF0000FF"/>
      <name val="Arial"/>
      <family val="2"/>
    </font>
    <font>
      <sz val="10"/>
      <color rgb="FF00B050"/>
      <name val="Arial"/>
      <family val="2"/>
    </font>
    <font>
      <i/>
      <sz val="10"/>
      <color rgb="FF0000FF"/>
      <name val="Arial"/>
      <family val="2"/>
    </font>
    <font>
      <b/>
      <sz val="9"/>
      <color theme="9" tint="-0.249977111117893"/>
      <name val="Arial"/>
      <family val="2"/>
    </font>
    <font>
      <i/>
      <sz val="10"/>
      <name val="Arial"/>
      <family val="2"/>
    </font>
    <font>
      <b/>
      <sz val="9"/>
      <color rgb="FFC00000"/>
      <name val="Arial"/>
      <family val="2"/>
    </font>
    <font>
      <sz val="9"/>
      <color rgb="FF0000FF"/>
      <name val="Arial"/>
      <family val="2"/>
    </font>
    <font>
      <sz val="10"/>
      <color rgb="FFFF0000"/>
      <name val="Arial"/>
      <family val="2"/>
    </font>
    <font>
      <i/>
      <sz val="8"/>
      <color rgb="FF0000FF"/>
      <name val="Arial Narrow"/>
      <family val="2"/>
    </font>
    <font>
      <sz val="8"/>
      <name val="Arial"/>
      <family val="2"/>
    </font>
    <font>
      <sz val="10"/>
      <color indexed="12"/>
      <name val="Arial"/>
      <family val="2"/>
    </font>
    <font>
      <b/>
      <sz val="10"/>
      <color theme="1"/>
      <name val="Arial"/>
      <family val="2"/>
    </font>
    <font>
      <b/>
      <sz val="8"/>
      <color rgb="FF0000FF"/>
      <name val="Arial"/>
      <family val="2"/>
    </font>
    <font>
      <b/>
      <sz val="9"/>
      <color indexed="12"/>
      <name val="Arial"/>
      <family val="2"/>
    </font>
    <font>
      <sz val="9"/>
      <color theme="1"/>
      <name val="Arial"/>
      <family val="2"/>
    </font>
    <font>
      <sz val="11"/>
      <name val="Arial"/>
      <family val="2"/>
    </font>
    <font>
      <b/>
      <sz val="9"/>
      <color theme="5" tint="-0.249977111117893"/>
      <name val="Arial"/>
      <family val="2"/>
    </font>
    <font>
      <b/>
      <sz val="9"/>
      <color theme="1"/>
      <name val="Arial"/>
      <family val="2"/>
    </font>
    <font>
      <b/>
      <sz val="9"/>
      <color rgb="FF0000FF"/>
      <name val="Arial"/>
      <family val="2"/>
    </font>
    <font>
      <sz val="12"/>
      <color theme="1"/>
      <name val="Arial"/>
      <family val="2"/>
    </font>
    <font>
      <b/>
      <sz val="10"/>
      <color theme="5" tint="-0.249977111117893"/>
      <name val="Arial"/>
      <family val="2"/>
    </font>
    <font>
      <sz val="9"/>
      <color rgb="FF3E3E3E"/>
      <name val="Times New Roman"/>
      <family val="1"/>
    </font>
    <font>
      <b/>
      <sz val="10"/>
      <color rgb="FFAA1695"/>
      <name val="Arial"/>
      <family val="2"/>
    </font>
    <font>
      <i/>
      <sz val="8"/>
      <color rgb="FF3E3E3E"/>
      <name val="Times New Roman"/>
      <family val="1"/>
    </font>
    <font>
      <sz val="8"/>
      <color rgb="FF3E3E3E"/>
      <name val="Times New Roman"/>
      <family val="1"/>
    </font>
    <font>
      <i/>
      <sz val="10"/>
      <color theme="1"/>
      <name val="Arial"/>
      <family val="2"/>
    </font>
    <font>
      <sz val="9"/>
      <color rgb="FF3E3E3E"/>
      <name val="Arial"/>
      <family val="2"/>
    </font>
    <font>
      <i/>
      <sz val="9"/>
      <color rgb="FF3E3E3E"/>
      <name val="Arial"/>
      <family val="2"/>
    </font>
    <font>
      <b/>
      <sz val="10"/>
      <color rgb="FF0000FF"/>
      <name val="Arial"/>
      <family val="2"/>
    </font>
    <font>
      <b/>
      <sz val="9"/>
      <color rgb="FFAA1695"/>
      <name val="Arial"/>
      <family val="2"/>
    </font>
    <font>
      <sz val="10"/>
      <color rgb="FFC00000"/>
      <name val="Arial"/>
      <family val="2"/>
    </font>
    <font>
      <sz val="8"/>
      <color rgb="FF7030A0"/>
      <name val="Arial Narrow"/>
      <family val="2"/>
    </font>
    <font>
      <sz val="8"/>
      <color theme="5" tint="-0.249977111117893"/>
      <name val="Arial Narrow"/>
      <family val="2"/>
    </font>
    <font>
      <sz val="8"/>
      <name val="Arial Narrow"/>
      <family val="2"/>
    </font>
    <font>
      <sz val="9"/>
      <color theme="9" tint="-0.249977111117893"/>
      <name val="Arial"/>
      <family val="2"/>
    </font>
    <font>
      <sz val="8"/>
      <color rgb="FF2B0CE4"/>
      <name val="Arial Narrow"/>
      <family val="2"/>
    </font>
    <font>
      <sz val="8"/>
      <color theme="1"/>
      <name val="Arial Narrow"/>
      <family val="2"/>
    </font>
    <font>
      <b/>
      <sz val="9"/>
      <color theme="7" tint="-0.249977111117893"/>
      <name val="Arial"/>
      <family val="2"/>
    </font>
    <font>
      <sz val="10"/>
      <color theme="1"/>
      <name val="Arial Narrow"/>
      <family val="2"/>
    </font>
    <font>
      <sz val="10"/>
      <color theme="9" tint="-0.249977111117893"/>
      <name val="Arial Narrow"/>
      <family val="2"/>
    </font>
    <font>
      <sz val="9"/>
      <color rgb="FF00B0F0"/>
      <name val="Arial"/>
      <family val="2"/>
    </font>
    <font>
      <sz val="10"/>
      <color rgb="FFC00000"/>
      <name val="Arial Narrow"/>
      <family val="2"/>
    </font>
    <font>
      <b/>
      <u/>
      <sz val="10"/>
      <color theme="1"/>
      <name val="Arial"/>
      <family val="2"/>
    </font>
    <font>
      <sz val="9"/>
      <color rgb="FFC00000"/>
      <name val="Arial"/>
      <family val="2"/>
    </font>
    <font>
      <sz val="8"/>
      <color rgb="FF0000FF"/>
      <name val="Arial"/>
      <family val="2"/>
    </font>
    <font>
      <b/>
      <sz val="10"/>
      <color rgb="FFC00000"/>
      <name val="Arial Narrow"/>
      <family val="2"/>
    </font>
    <font>
      <i/>
      <sz val="8"/>
      <color theme="1"/>
      <name val="Arial"/>
      <family val="2"/>
    </font>
    <font>
      <sz val="10"/>
      <color theme="3" tint="-0.249977111117893"/>
      <name val="Arial"/>
      <family val="2"/>
    </font>
    <font>
      <sz val="9"/>
      <color theme="3" tint="-0.249977111117893"/>
      <name val="Arial"/>
      <family val="2"/>
    </font>
    <font>
      <i/>
      <u/>
      <sz val="10"/>
      <color theme="1"/>
      <name val="Arial"/>
      <family val="2"/>
    </font>
    <font>
      <u/>
      <sz val="10"/>
      <color theme="1"/>
      <name val="Arial"/>
      <family val="2"/>
    </font>
    <font>
      <sz val="8"/>
      <color theme="9" tint="-0.249977111117893"/>
      <name val="Arial"/>
      <family val="2"/>
    </font>
    <font>
      <i/>
      <sz val="8"/>
      <color rgb="FFFF0000"/>
      <name val="Arial"/>
      <family val="2"/>
    </font>
    <font>
      <sz val="8"/>
      <color rgb="FF0000FF"/>
      <name val="Arial Narrow"/>
      <family val="2"/>
    </font>
    <font>
      <sz val="9"/>
      <color rgb="FF7030A0"/>
      <name val="Arial"/>
      <family val="2"/>
    </font>
    <font>
      <b/>
      <sz val="8"/>
      <color rgb="FF7030A0"/>
      <name val="Arial"/>
      <family val="2"/>
    </font>
    <font>
      <i/>
      <sz val="9"/>
      <color theme="1"/>
      <name val="Arial"/>
      <family val="2"/>
    </font>
    <font>
      <b/>
      <sz val="8"/>
      <name val="Arial"/>
      <family val="2"/>
    </font>
    <font>
      <b/>
      <sz val="8"/>
      <color theme="1"/>
      <name val="Arial"/>
      <family val="2"/>
    </font>
    <font>
      <b/>
      <sz val="8"/>
      <color rgb="FFC00000"/>
      <name val="Arial"/>
      <family val="2"/>
    </font>
    <font>
      <sz val="11"/>
      <color theme="1"/>
      <name val="Arial"/>
      <family val="2"/>
    </font>
    <font>
      <b/>
      <sz val="8"/>
      <color rgb="FF2B0CE4"/>
      <name val="Arial"/>
      <family val="2"/>
    </font>
    <font>
      <b/>
      <sz val="8"/>
      <color indexed="81"/>
      <name val="Tahoma"/>
      <family val="2"/>
    </font>
    <font>
      <sz val="8"/>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41"/>
        <bgColor indexed="64"/>
      </patternFill>
    </fill>
    <fill>
      <patternFill patternType="solid">
        <fgColor theme="2"/>
        <bgColor indexed="64"/>
      </patternFill>
    </fill>
    <fill>
      <patternFill patternType="solid">
        <fgColor theme="0"/>
        <bgColor indexed="64"/>
      </patternFill>
    </fill>
    <fill>
      <patternFill patternType="solid">
        <fgColor indexed="42"/>
        <bgColor indexed="64"/>
      </patternFill>
    </fill>
    <fill>
      <patternFill patternType="solid">
        <fgColor theme="0" tint="-4.9989318521683403E-2"/>
        <bgColor indexed="64"/>
      </patternFill>
    </fill>
  </fills>
  <borders count="27">
    <border>
      <left/>
      <right/>
      <top/>
      <bottom/>
      <diagonal/>
    </border>
    <border>
      <left/>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270">
    <xf numFmtId="0" fontId="0" fillId="0" borderId="0" xfId="0"/>
    <xf numFmtId="0" fontId="2" fillId="0" borderId="0" xfId="0" applyFont="1"/>
    <xf numFmtId="0" fontId="3" fillId="0" borderId="0" xfId="0" applyFont="1" applyAlignment="1">
      <alignment shrinkToFit="1"/>
    </xf>
    <xf numFmtId="0" fontId="2" fillId="2" borderId="0" xfId="0" applyFont="1" applyFill="1"/>
    <xf numFmtId="0" fontId="2" fillId="3" borderId="0" xfId="0" applyFont="1" applyFill="1"/>
    <xf numFmtId="14" fontId="1" fillId="3" borderId="0" xfId="1" applyNumberFormat="1" applyFill="1" applyAlignment="1">
      <alignment horizontal="center"/>
    </xf>
    <xf numFmtId="1" fontId="1" fillId="3" borderId="0" xfId="1" applyNumberFormat="1" applyFill="1"/>
    <xf numFmtId="0" fontId="1" fillId="3" borderId="0" xfId="1" applyFill="1"/>
    <xf numFmtId="0" fontId="3" fillId="3" borderId="0" xfId="0" applyFont="1" applyFill="1" applyAlignment="1">
      <alignment shrinkToFit="1"/>
    </xf>
    <xf numFmtId="1" fontId="4" fillId="3" borderId="1" xfId="1" applyNumberFormat="1" applyFont="1" applyFill="1" applyBorder="1" applyAlignment="1">
      <alignment horizontal="center"/>
    </xf>
    <xf numFmtId="17" fontId="1" fillId="3" borderId="0" xfId="1" applyNumberFormat="1" applyFill="1"/>
    <xf numFmtId="1" fontId="1" fillId="3" borderId="1" xfId="1" applyNumberFormat="1" applyFill="1" applyBorder="1"/>
    <xf numFmtId="1" fontId="1" fillId="3" borderId="0" xfId="1" applyNumberFormat="1" applyFill="1" applyAlignment="1">
      <alignment horizontal="center"/>
    </xf>
    <xf numFmtId="17" fontId="1" fillId="3" borderId="0" xfId="1" applyNumberFormat="1" applyFill="1" applyAlignment="1">
      <alignment horizontal="center"/>
    </xf>
    <xf numFmtId="1" fontId="5" fillId="3" borderId="0" xfId="0" applyNumberFormat="1" applyFont="1" applyFill="1" applyAlignment="1">
      <alignment horizontal="left"/>
    </xf>
    <xf numFmtId="0" fontId="6" fillId="3" borderId="0" xfId="1" applyFont="1" applyFill="1" applyAlignment="1">
      <alignment horizontal="left" indent="1"/>
    </xf>
    <xf numFmtId="1" fontId="7" fillId="3" borderId="0" xfId="0" applyNumberFormat="1" applyFont="1" applyFill="1" applyAlignment="1">
      <alignment horizontal="right"/>
    </xf>
    <xf numFmtId="1" fontId="8" fillId="3" borderId="0" xfId="0" applyNumberFormat="1" applyFont="1" applyFill="1" applyAlignment="1">
      <alignment horizontal="center"/>
    </xf>
    <xf numFmtId="0" fontId="8" fillId="3" borderId="0" xfId="0" applyFont="1" applyFill="1"/>
    <xf numFmtId="1" fontId="9" fillId="3" borderId="0" xfId="0" applyNumberFormat="1" applyFont="1" applyFill="1" applyAlignment="1">
      <alignment horizontal="left"/>
    </xf>
    <xf numFmtId="0" fontId="8" fillId="3" borderId="0" xfId="0" applyFont="1" applyFill="1" applyAlignment="1">
      <alignment horizontal="center"/>
    </xf>
    <xf numFmtId="2" fontId="8" fillId="3" borderId="0" xfId="1" applyNumberFormat="1" applyFont="1" applyFill="1" applyAlignment="1">
      <alignment horizontal="center"/>
    </xf>
    <xf numFmtId="0" fontId="1" fillId="3" borderId="0" xfId="1" applyFill="1" applyAlignment="1">
      <alignment horizontal="center"/>
    </xf>
    <xf numFmtId="0" fontId="6" fillId="3" borderId="0" xfId="1" applyFont="1" applyFill="1"/>
    <xf numFmtId="2" fontId="4" fillId="3" borderId="0" xfId="1" applyNumberFormat="1" applyFont="1" applyFill="1" applyAlignment="1">
      <alignment horizontal="center"/>
    </xf>
    <xf numFmtId="0" fontId="10" fillId="3" borderId="0" xfId="1" applyFont="1" applyFill="1"/>
    <xf numFmtId="2" fontId="4" fillId="3" borderId="2" xfId="1" applyNumberFormat="1" applyFont="1" applyFill="1" applyBorder="1" applyAlignment="1">
      <alignment horizontal="center"/>
    </xf>
    <xf numFmtId="0" fontId="1" fillId="3" borderId="2" xfId="1" applyFill="1" applyBorder="1"/>
    <xf numFmtId="1" fontId="1" fillId="3" borderId="2" xfId="1" applyNumberFormat="1" applyFill="1" applyBorder="1"/>
    <xf numFmtId="1" fontId="1" fillId="3" borderId="2" xfId="1" applyNumberFormat="1" applyFill="1" applyBorder="1" applyAlignment="1">
      <alignment horizontal="right"/>
    </xf>
    <xf numFmtId="0" fontId="2" fillId="3" borderId="2" xfId="0" applyFont="1" applyFill="1" applyBorder="1"/>
    <xf numFmtId="0" fontId="6" fillId="3" borderId="2" xfId="1" applyFont="1" applyFill="1" applyBorder="1"/>
    <xf numFmtId="1" fontId="1" fillId="3" borderId="0" xfId="1" applyNumberFormat="1" applyFill="1" applyAlignment="1">
      <alignment horizontal="right"/>
    </xf>
    <xf numFmtId="1" fontId="11" fillId="3" borderId="0" xfId="1" applyNumberFormat="1" applyFont="1" applyFill="1" applyAlignment="1">
      <alignment horizontal="left"/>
    </xf>
    <xf numFmtId="0" fontId="3" fillId="3" borderId="0" xfId="0" applyFont="1" applyFill="1"/>
    <xf numFmtId="164" fontId="12" fillId="3" borderId="0" xfId="1" applyNumberFormat="1" applyFont="1" applyFill="1" applyAlignment="1">
      <alignment horizontal="center"/>
    </xf>
    <xf numFmtId="1" fontId="2" fillId="3" borderId="0" xfId="0" applyNumberFormat="1" applyFont="1" applyFill="1" applyAlignment="1">
      <alignment horizontal="center"/>
    </xf>
    <xf numFmtId="2" fontId="4" fillId="3" borderId="0" xfId="1" applyNumberFormat="1" applyFont="1" applyFill="1"/>
    <xf numFmtId="1" fontId="7" fillId="3" borderId="0" xfId="0" applyNumberFormat="1" applyFont="1" applyFill="1" applyAlignment="1">
      <alignment horizontal="center"/>
    </xf>
    <xf numFmtId="0" fontId="7" fillId="3" borderId="0" xfId="0" applyFont="1" applyFill="1"/>
    <xf numFmtId="0" fontId="11" fillId="3" borderId="0" xfId="1" applyFont="1" applyFill="1" applyAlignment="1">
      <alignment horizontal="left"/>
    </xf>
    <xf numFmtId="9" fontId="13" fillId="3" borderId="0" xfId="1" applyNumberFormat="1" applyFont="1" applyFill="1" applyAlignment="1">
      <alignment horizontal="center"/>
    </xf>
    <xf numFmtId="0" fontId="7" fillId="3" borderId="0" xfId="0" applyFont="1" applyFill="1" applyAlignment="1">
      <alignment horizontal="center"/>
    </xf>
    <xf numFmtId="2" fontId="7" fillId="3" borderId="0" xfId="1" applyNumberFormat="1" applyFont="1" applyFill="1" applyAlignment="1">
      <alignment horizontal="center"/>
    </xf>
    <xf numFmtId="1" fontId="4" fillId="3" borderId="2" xfId="1" applyNumberFormat="1" applyFont="1" applyFill="1" applyBorder="1"/>
    <xf numFmtId="0" fontId="2" fillId="3" borderId="0" xfId="0" applyFont="1" applyFill="1" applyAlignment="1">
      <alignment horizontal="center"/>
    </xf>
    <xf numFmtId="1" fontId="4" fillId="3" borderId="1" xfId="1" applyNumberFormat="1" applyFont="1" applyFill="1" applyBorder="1"/>
    <xf numFmtId="1" fontId="2" fillId="3" borderId="0" xfId="0" applyNumberFormat="1" applyFont="1" applyFill="1"/>
    <xf numFmtId="2" fontId="1" fillId="3" borderId="0" xfId="1" applyNumberFormat="1" applyFill="1"/>
    <xf numFmtId="164" fontId="1" fillId="3" borderId="0" xfId="1" applyNumberFormat="1" applyFill="1" applyAlignment="1">
      <alignment horizontal="center"/>
    </xf>
    <xf numFmtId="1" fontId="14" fillId="3" borderId="0" xfId="0" applyNumberFormat="1" applyFont="1" applyFill="1" applyAlignment="1">
      <alignment horizontal="center"/>
    </xf>
    <xf numFmtId="0" fontId="14" fillId="3" borderId="0" xfId="0" applyFont="1" applyFill="1"/>
    <xf numFmtId="164" fontId="15" fillId="3" borderId="0" xfId="1" applyNumberFormat="1" applyFont="1" applyFill="1" applyAlignment="1">
      <alignment horizontal="left"/>
    </xf>
    <xf numFmtId="9" fontId="3" fillId="3" borderId="0" xfId="0" applyNumberFormat="1" applyFont="1" applyFill="1" applyAlignment="1">
      <alignment shrinkToFit="1"/>
    </xf>
    <xf numFmtId="0" fontId="14" fillId="3" borderId="0" xfId="0" applyFont="1" applyFill="1" applyAlignment="1">
      <alignment horizontal="center"/>
    </xf>
    <xf numFmtId="2" fontId="14" fillId="3" borderId="0" xfId="1" applyNumberFormat="1" applyFont="1" applyFill="1" applyAlignment="1">
      <alignment horizontal="center"/>
    </xf>
    <xf numFmtId="0" fontId="1" fillId="3" borderId="0" xfId="1" applyFill="1" applyAlignment="1">
      <alignment horizontal="center" vertical="center"/>
    </xf>
    <xf numFmtId="1" fontId="1" fillId="3" borderId="0" xfId="1" applyNumberFormat="1" applyFill="1" applyAlignment="1">
      <alignment horizontal="center" vertical="center"/>
    </xf>
    <xf numFmtId="1" fontId="16" fillId="3" borderId="0" xfId="1" applyNumberFormat="1" applyFont="1" applyFill="1" applyAlignment="1">
      <alignment horizontal="center" vertical="center" wrapText="1"/>
    </xf>
    <xf numFmtId="0" fontId="6" fillId="3" borderId="0" xfId="1" applyFont="1" applyFill="1" applyAlignment="1">
      <alignment horizontal="center" vertical="center"/>
    </xf>
    <xf numFmtId="1" fontId="7" fillId="3" borderId="0" xfId="1" applyNumberFormat="1" applyFont="1" applyFill="1"/>
    <xf numFmtId="10" fontId="4" fillId="3" borderId="0" xfId="2" applyNumberFormat="1" applyFont="1" applyFill="1" applyBorder="1" applyAlignment="1">
      <alignment horizontal="center"/>
    </xf>
    <xf numFmtId="2" fontId="1" fillId="3" borderId="0" xfId="1" applyNumberFormat="1" applyFill="1" applyAlignment="1">
      <alignment horizontal="center"/>
    </xf>
    <xf numFmtId="1" fontId="2" fillId="3" borderId="1" xfId="0" applyNumberFormat="1" applyFont="1" applyFill="1" applyBorder="1"/>
    <xf numFmtId="2" fontId="17" fillId="3" borderId="0" xfId="1" applyNumberFormat="1" applyFont="1" applyFill="1"/>
    <xf numFmtId="0" fontId="13" fillId="3" borderId="0" xfId="1" applyFont="1" applyFill="1"/>
    <xf numFmtId="1" fontId="18" fillId="3" borderId="0" xfId="1" applyNumberFormat="1" applyFont="1" applyFill="1"/>
    <xf numFmtId="0" fontId="19" fillId="3" borderId="0" xfId="1" applyFont="1" applyFill="1"/>
    <xf numFmtId="0" fontId="4" fillId="3" borderId="0" xfId="1" applyFont="1" applyFill="1"/>
    <xf numFmtId="0" fontId="20" fillId="3" borderId="0" xfId="1" applyFont="1" applyFill="1"/>
    <xf numFmtId="0" fontId="21" fillId="0" borderId="0" xfId="0" applyFont="1" applyAlignment="1">
      <alignment horizontal="center"/>
    </xf>
    <xf numFmtId="0" fontId="2" fillId="0" borderId="0" xfId="0" applyFont="1" applyAlignment="1">
      <alignment horizontal="center"/>
    </xf>
    <xf numFmtId="0" fontId="18" fillId="0" borderId="0" xfId="1" applyFont="1"/>
    <xf numFmtId="0" fontId="2" fillId="0" borderId="0" xfId="1" applyFont="1"/>
    <xf numFmtId="0" fontId="2" fillId="0" borderId="3" xfId="0" applyFont="1" applyBorder="1"/>
    <xf numFmtId="0" fontId="2" fillId="0" borderId="2" xfId="0" applyFont="1" applyBorder="1"/>
    <xf numFmtId="0" fontId="1" fillId="0" borderId="2" xfId="1" applyBorder="1" applyAlignment="1">
      <alignment horizontal="right"/>
    </xf>
    <xf numFmtId="0" fontId="22" fillId="0" borderId="2" xfId="1" applyFont="1" applyBorder="1"/>
    <xf numFmtId="0" fontId="23" fillId="0" borderId="4" xfId="1" applyFont="1" applyBorder="1"/>
    <xf numFmtId="0" fontId="2" fillId="0" borderId="5" xfId="0" applyFont="1" applyBorder="1"/>
    <xf numFmtId="0" fontId="1" fillId="0" borderId="0" xfId="1" applyAlignment="1">
      <alignment horizontal="left" indent="1"/>
    </xf>
    <xf numFmtId="0" fontId="2" fillId="0" borderId="6" xfId="1" applyFont="1" applyBorder="1" applyAlignment="1">
      <alignment horizontal="left" indent="1"/>
    </xf>
    <xf numFmtId="0" fontId="24" fillId="0" borderId="0" xfId="1" applyFont="1" applyAlignment="1">
      <alignment horizontal="left"/>
    </xf>
    <xf numFmtId="0" fontId="1" fillId="0" borderId="0" xfId="1"/>
    <xf numFmtId="0" fontId="23" fillId="0" borderId="6" xfId="1" applyFont="1" applyBorder="1"/>
    <xf numFmtId="0" fontId="1" fillId="0" borderId="0" xfId="1" applyAlignment="1">
      <alignment horizontal="right"/>
    </xf>
    <xf numFmtId="0" fontId="1" fillId="0" borderId="0" xfId="1" applyAlignment="1">
      <alignment horizontal="center"/>
    </xf>
    <xf numFmtId="0" fontId="2" fillId="0" borderId="0" xfId="1" applyFont="1" applyAlignment="1">
      <alignment horizontal="left" indent="1"/>
    </xf>
    <xf numFmtId="0" fontId="2" fillId="0" borderId="7" xfId="0" applyFont="1" applyBorder="1"/>
    <xf numFmtId="0" fontId="25" fillId="0" borderId="8" xfId="1" applyFont="1" applyBorder="1"/>
    <xf numFmtId="0" fontId="2" fillId="0" borderId="8" xfId="0" applyFont="1" applyBorder="1"/>
    <xf numFmtId="0" fontId="1" fillId="0" borderId="8" xfId="1" applyBorder="1" applyAlignment="1">
      <alignment horizontal="center"/>
    </xf>
    <xf numFmtId="0" fontId="6" fillId="0" borderId="8" xfId="1" applyFont="1" applyBorder="1" applyAlignment="1">
      <alignment horizontal="center"/>
    </xf>
    <xf numFmtId="0" fontId="23" fillId="0" borderId="9" xfId="1" applyFont="1" applyBorder="1"/>
    <xf numFmtId="0" fontId="21" fillId="0" borderId="2" xfId="1" applyFont="1" applyBorder="1"/>
    <xf numFmtId="0" fontId="3" fillId="0" borderId="4" xfId="0" applyFont="1" applyBorder="1" applyAlignment="1">
      <alignment shrinkToFit="1"/>
    </xf>
    <xf numFmtId="0" fontId="2" fillId="0" borderId="0" xfId="1" applyFont="1" applyAlignment="1">
      <alignment horizontal="right"/>
    </xf>
    <xf numFmtId="0" fontId="26" fillId="0" borderId="0" xfId="1" applyFont="1"/>
    <xf numFmtId="0" fontId="21" fillId="0" borderId="0" xfId="1" applyFont="1"/>
    <xf numFmtId="0" fontId="3" fillId="0" borderId="0" xfId="1" applyFont="1"/>
    <xf numFmtId="0" fontId="3" fillId="0" borderId="6" xfId="0" applyFont="1" applyBorder="1" applyAlignment="1">
      <alignment shrinkToFit="1"/>
    </xf>
    <xf numFmtId="0" fontId="7" fillId="0" borderId="6" xfId="1" applyFont="1" applyBorder="1"/>
    <xf numFmtId="0" fontId="21" fillId="0" borderId="0" xfId="0" applyFont="1"/>
    <xf numFmtId="0" fontId="27" fillId="0" borderId="7" xfId="0" applyFont="1" applyBorder="1" applyAlignment="1">
      <alignment horizontal="center"/>
    </xf>
    <xf numFmtId="0" fontId="27" fillId="0" borderId="8" xfId="0" applyFont="1" applyBorder="1" applyAlignment="1">
      <alignment horizontal="center"/>
    </xf>
    <xf numFmtId="0" fontId="28" fillId="0" borderId="8" xfId="0" applyFont="1" applyBorder="1" applyAlignment="1">
      <alignment horizontal="left" vertical="top" wrapText="1"/>
    </xf>
    <xf numFmtId="0" fontId="29" fillId="0" borderId="9" xfId="1" applyFont="1" applyBorder="1"/>
    <xf numFmtId="0" fontId="28" fillId="0" borderId="0" xfId="0" applyFont="1" applyAlignment="1">
      <alignment horizontal="left" vertical="top" wrapText="1"/>
    </xf>
    <xf numFmtId="0" fontId="21" fillId="0" borderId="0" xfId="0" applyFont="1" applyAlignment="1">
      <alignment shrinkToFit="1"/>
    </xf>
    <xf numFmtId="0" fontId="21" fillId="0" borderId="3" xfId="0" applyFont="1" applyBorder="1"/>
    <xf numFmtId="0" fontId="28" fillId="0" borderId="2" xfId="0" applyFont="1" applyBorder="1" applyAlignment="1">
      <alignment horizontal="left" vertical="top" wrapText="1"/>
    </xf>
    <xf numFmtId="0" fontId="21" fillId="0" borderId="4" xfId="0" applyFont="1" applyBorder="1" applyAlignment="1">
      <alignment shrinkToFi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21" fillId="0" borderId="6" xfId="0" applyFont="1" applyBorder="1" applyAlignment="1">
      <alignment shrinkToFit="1"/>
    </xf>
    <xf numFmtId="0" fontId="6" fillId="0" borderId="0" xfId="0" applyFont="1"/>
    <xf numFmtId="0" fontId="32" fillId="0" borderId="0" xfId="1" applyFont="1" applyAlignment="1">
      <alignment horizontal="left" vertical="center"/>
    </xf>
    <xf numFmtId="0" fontId="21" fillId="0" borderId="0" xfId="0" applyFont="1" applyAlignment="1">
      <alignment horizontal="left"/>
    </xf>
    <xf numFmtId="0" fontId="28" fillId="0" borderId="5" xfId="0" applyFont="1" applyBorder="1" applyAlignment="1">
      <alignment horizontal="left" vertical="top" wrapText="1"/>
    </xf>
    <xf numFmtId="0" fontId="28" fillId="0" borderId="0" xfId="0" applyFont="1" applyAlignment="1">
      <alignment horizontal="left" vertical="top" wrapText="1"/>
    </xf>
    <xf numFmtId="0" fontId="33" fillId="0" borderId="6" xfId="0" applyFont="1" applyBorder="1" applyAlignment="1">
      <alignment horizontal="center" vertical="center"/>
    </xf>
    <xf numFmtId="0" fontId="35" fillId="0" borderId="0" xfId="1" applyFont="1"/>
    <xf numFmtId="0" fontId="21" fillId="0" borderId="5" xfId="0" applyFont="1" applyBorder="1"/>
    <xf numFmtId="0" fontId="36" fillId="0" borderId="0" xfId="0" applyFont="1"/>
    <xf numFmtId="0" fontId="23" fillId="0" borderId="7" xfId="0" applyFont="1" applyBorder="1" applyAlignment="1">
      <alignment horizontal="center"/>
    </xf>
    <xf numFmtId="0" fontId="23" fillId="0" borderId="8" xfId="0" applyFont="1" applyBorder="1" applyAlignment="1">
      <alignment horizontal="center"/>
    </xf>
    <xf numFmtId="0" fontId="21" fillId="0" borderId="8" xfId="0" applyFont="1" applyBorder="1"/>
    <xf numFmtId="0" fontId="37" fillId="0" borderId="0" xfId="0" applyFont="1"/>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1" fillId="0" borderId="0" xfId="0" applyFont="1"/>
    <xf numFmtId="14" fontId="3" fillId="0" borderId="0" xfId="0" applyNumberFormat="1" applyFont="1" applyAlignment="1">
      <alignment horizontal="center" shrinkToFit="1"/>
    </xf>
    <xf numFmtId="0" fontId="35" fillId="0" borderId="1" xfId="0" applyFont="1" applyBorder="1"/>
    <xf numFmtId="0" fontId="38" fillId="0" borderId="3" xfId="0" applyFont="1" applyBorder="1" applyAlignment="1">
      <alignment horizontal="center"/>
    </xf>
    <xf numFmtId="0" fontId="38" fillId="0" borderId="2" xfId="0" applyFont="1" applyBorder="1" applyAlignment="1">
      <alignment horizontal="center"/>
    </xf>
    <xf numFmtId="0" fontId="39" fillId="0" borderId="2" xfId="0" applyFont="1" applyBorder="1" applyAlignment="1">
      <alignment horizontal="center"/>
    </xf>
    <xf numFmtId="0" fontId="40" fillId="0" borderId="2" xfId="0" applyFont="1" applyBorder="1" applyAlignment="1">
      <alignment horizontal="center"/>
    </xf>
    <xf numFmtId="0" fontId="41" fillId="0" borderId="2" xfId="0" applyFont="1" applyBorder="1"/>
    <xf numFmtId="0" fontId="16" fillId="0" borderId="2" xfId="0" applyFont="1" applyBorder="1" applyAlignment="1">
      <alignment horizontal="center" shrinkToFit="1"/>
    </xf>
    <xf numFmtId="14" fontId="16" fillId="0" borderId="4" xfId="0" applyNumberFormat="1" applyFont="1" applyBorder="1" applyAlignment="1">
      <alignment horizontal="center" shrinkToFit="1"/>
    </xf>
    <xf numFmtId="9" fontId="2" fillId="0" borderId="0" xfId="0" applyNumberFormat="1" applyFont="1" applyAlignment="1">
      <alignment horizontal="center"/>
    </xf>
    <xf numFmtId="0" fontId="21" fillId="0" borderId="0" xfId="0" applyFont="1" applyAlignment="1">
      <alignment horizontal="left" indent="11"/>
    </xf>
    <xf numFmtId="0" fontId="42" fillId="0" borderId="7" xfId="0" applyFont="1" applyBorder="1" applyAlignment="1">
      <alignment horizontal="center"/>
    </xf>
    <xf numFmtId="0" fontId="42" fillId="0" borderId="8" xfId="0" applyFont="1" applyBorder="1" applyAlignment="1">
      <alignment horizontal="center"/>
    </xf>
    <xf numFmtId="0" fontId="42" fillId="0" borderId="9" xfId="0" applyFont="1" applyBorder="1" applyAlignment="1">
      <alignment horizontal="center"/>
    </xf>
    <xf numFmtId="1" fontId="18" fillId="2" borderId="10" xfId="1" applyNumberFormat="1" applyFont="1" applyFill="1" applyBorder="1"/>
    <xf numFmtId="1" fontId="18" fillId="2" borderId="11" xfId="1" applyNumberFormat="1" applyFont="1" applyFill="1" applyBorder="1"/>
    <xf numFmtId="0" fontId="2" fillId="0" borderId="12" xfId="0" applyFont="1" applyBorder="1" applyAlignment="1">
      <alignment horizontal="center"/>
    </xf>
    <xf numFmtId="0" fontId="43" fillId="0" borderId="12" xfId="0" applyFont="1" applyBorder="1" applyAlignment="1">
      <alignment horizontal="left"/>
    </xf>
    <xf numFmtId="0" fontId="44" fillId="0" borderId="12" xfId="0" applyFont="1" applyBorder="1"/>
    <xf numFmtId="0" fontId="2" fillId="0" borderId="12" xfId="0" applyFont="1" applyBorder="1"/>
    <xf numFmtId="0" fontId="18" fillId="0" borderId="12" xfId="0" applyFont="1" applyBorder="1"/>
    <xf numFmtId="1" fontId="3" fillId="0" borderId="13" xfId="0" applyNumberFormat="1" applyFont="1" applyBorder="1" applyAlignment="1">
      <alignment shrinkToFit="1"/>
    </xf>
    <xf numFmtId="1" fontId="18" fillId="0" borderId="5" xfId="0" applyNumberFormat="1" applyFont="1" applyBorder="1"/>
    <xf numFmtId="1" fontId="18" fillId="0" borderId="14" xfId="0" applyNumberFormat="1" applyFont="1" applyBorder="1"/>
    <xf numFmtId="1" fontId="2" fillId="4" borderId="0" xfId="0" applyNumberFormat="1" applyFont="1" applyFill="1"/>
    <xf numFmtId="1" fontId="2" fillId="0" borderId="0" xfId="0" applyNumberFormat="1" applyFont="1"/>
    <xf numFmtId="0" fontId="2" fillId="0" borderId="15" xfId="0" applyFont="1" applyBorder="1"/>
    <xf numFmtId="0" fontId="3" fillId="0" borderId="0" xfId="0" applyFont="1"/>
    <xf numFmtId="0" fontId="45" fillId="0" borderId="0" xfId="0" applyFont="1" applyAlignment="1">
      <alignment horizontal="left" shrinkToFit="1"/>
    </xf>
    <xf numFmtId="1" fontId="47" fillId="0" borderId="0" xfId="0" applyNumberFormat="1" applyFont="1" applyAlignment="1">
      <alignment horizontal="center"/>
    </xf>
    <xf numFmtId="1" fontId="25" fillId="0" borderId="0" xfId="0" applyNumberFormat="1" applyFont="1" applyAlignment="1">
      <alignment horizontal="right"/>
    </xf>
    <xf numFmtId="0" fontId="35" fillId="0" borderId="0" xfId="0" applyFont="1"/>
    <xf numFmtId="0" fontId="45" fillId="0" borderId="0" xfId="0" applyFont="1" applyAlignment="1">
      <alignment horizontal="left" shrinkToFit="1"/>
    </xf>
    <xf numFmtId="0" fontId="48" fillId="0" borderId="0" xfId="0" applyFont="1" applyAlignment="1">
      <alignment horizontal="left" shrinkToFit="1"/>
    </xf>
    <xf numFmtId="15" fontId="13" fillId="0" borderId="0" xfId="1" applyNumberFormat="1" applyFont="1" applyAlignment="1">
      <alignment horizontal="center"/>
    </xf>
    <xf numFmtId="0" fontId="49" fillId="0" borderId="0" xfId="0" applyFont="1"/>
    <xf numFmtId="1" fontId="50" fillId="5" borderId="0" xfId="0" applyNumberFormat="1" applyFont="1" applyFill="1"/>
    <xf numFmtId="1" fontId="21" fillId="5" borderId="0" xfId="0" applyNumberFormat="1" applyFont="1" applyFill="1" applyAlignment="1">
      <alignment horizontal="left" indent="1"/>
    </xf>
    <xf numFmtId="1" fontId="2" fillId="0" borderId="14" xfId="0" applyNumberFormat="1" applyFont="1" applyBorder="1"/>
    <xf numFmtId="0" fontId="51" fillId="0" borderId="0" xfId="0" applyFont="1" applyAlignment="1">
      <alignment horizontal="right"/>
    </xf>
    <xf numFmtId="0" fontId="18" fillId="0" borderId="0" xfId="0" applyFont="1"/>
    <xf numFmtId="1" fontId="2" fillId="0" borderId="16" xfId="0" applyNumberFormat="1" applyFont="1" applyBorder="1"/>
    <xf numFmtId="1" fontId="2" fillId="0" borderId="17" xfId="0" applyNumberFormat="1" applyFont="1" applyBorder="1"/>
    <xf numFmtId="1" fontId="25" fillId="5" borderId="1" xfId="0" applyNumberFormat="1" applyFont="1" applyFill="1" applyBorder="1"/>
    <xf numFmtId="0" fontId="43" fillId="0" borderId="0" xfId="0" applyFont="1"/>
    <xf numFmtId="1" fontId="18" fillId="0" borderId="5" xfId="0" applyNumberFormat="1" applyFont="1" applyBorder="1" applyAlignment="1">
      <alignment horizontal="right"/>
    </xf>
    <xf numFmtId="1" fontId="18" fillId="0" borderId="14" xfId="0" applyNumberFormat="1" applyFont="1" applyBorder="1" applyAlignment="1">
      <alignment horizontal="right"/>
    </xf>
    <xf numFmtId="0" fontId="52" fillId="0" borderId="0" xfId="0" applyFont="1" applyAlignment="1">
      <alignment horizontal="left"/>
    </xf>
    <xf numFmtId="0" fontId="53" fillId="0" borderId="0" xfId="0" applyFont="1" applyAlignment="1">
      <alignment horizontal="right"/>
    </xf>
    <xf numFmtId="1" fontId="2" fillId="5" borderId="0" xfId="0" applyNumberFormat="1" applyFont="1" applyFill="1"/>
    <xf numFmtId="0" fontId="43" fillId="0" borderId="0" xfId="0" applyFont="1" applyAlignment="1">
      <alignment horizontal="left"/>
    </xf>
    <xf numFmtId="1" fontId="2" fillId="0" borderId="16" xfId="0" applyNumberFormat="1" applyFont="1" applyBorder="1" applyAlignment="1">
      <alignment horizontal="right"/>
    </xf>
    <xf numFmtId="1" fontId="2" fillId="0" borderId="17" xfId="0" applyNumberFormat="1" applyFont="1" applyBorder="1" applyAlignment="1">
      <alignment horizontal="right"/>
    </xf>
    <xf numFmtId="9" fontId="7" fillId="0" borderId="0" xfId="0" applyNumberFormat="1" applyFont="1" applyAlignment="1">
      <alignment horizontal="center"/>
    </xf>
    <xf numFmtId="1" fontId="2" fillId="0" borderId="5" xfId="0" applyNumberFormat="1" applyFont="1" applyBorder="1" applyAlignment="1">
      <alignment horizontal="right"/>
    </xf>
    <xf numFmtId="1" fontId="2" fillId="0" borderId="14" xfId="0" applyNumberFormat="1" applyFont="1" applyBorder="1" applyAlignment="1">
      <alignment horizontal="right"/>
    </xf>
    <xf numFmtId="0" fontId="2" fillId="0" borderId="0" xfId="0" applyFont="1" applyAlignment="1">
      <alignment horizontal="right"/>
    </xf>
    <xf numFmtId="0" fontId="21" fillId="5" borderId="0" xfId="0" applyFont="1" applyFill="1" applyAlignment="1">
      <alignment horizontal="center"/>
    </xf>
    <xf numFmtId="0" fontId="2" fillId="5" borderId="0" xfId="0" applyFont="1" applyFill="1" applyAlignment="1">
      <alignment horizontal="left"/>
    </xf>
    <xf numFmtId="0" fontId="2" fillId="0" borderId="18" xfId="0" applyFont="1" applyBorder="1" applyAlignment="1">
      <alignment horizontal="right"/>
    </xf>
    <xf numFmtId="0" fontId="18" fillId="6" borderId="1" xfId="0" applyFont="1" applyFill="1" applyBorder="1"/>
    <xf numFmtId="0" fontId="2" fillId="0" borderId="0" xfId="0" applyFont="1" applyAlignment="1">
      <alignment horizontal="left" indent="1"/>
    </xf>
    <xf numFmtId="0" fontId="2" fillId="0" borderId="14" xfId="0" applyFont="1" applyBorder="1"/>
    <xf numFmtId="0" fontId="2" fillId="4" borderId="18" xfId="0" applyFont="1" applyFill="1" applyBorder="1"/>
    <xf numFmtId="9" fontId="21" fillId="0" borderId="0" xfId="0" applyNumberFormat="1" applyFont="1" applyAlignment="1">
      <alignment horizontal="center"/>
    </xf>
    <xf numFmtId="0" fontId="25" fillId="0" borderId="0" xfId="0" applyFont="1" applyAlignment="1">
      <alignment horizontal="center"/>
    </xf>
    <xf numFmtId="0" fontId="21" fillId="0" borderId="14" xfId="0" applyFont="1" applyBorder="1"/>
    <xf numFmtId="0" fontId="24" fillId="0" borderId="0" xfId="0" applyFont="1" applyAlignment="1">
      <alignment horizontal="right"/>
    </xf>
    <xf numFmtId="0" fontId="24" fillId="0" borderId="0" xfId="0" applyFont="1" applyAlignment="1">
      <alignment horizontal="center"/>
    </xf>
    <xf numFmtId="1" fontId="18" fillId="2" borderId="19" xfId="0" applyNumberFormat="1" applyFont="1" applyFill="1" applyBorder="1"/>
    <xf numFmtId="1" fontId="18" fillId="2" borderId="20" xfId="0" applyNumberFormat="1" applyFont="1" applyFill="1" applyBorder="1"/>
    <xf numFmtId="0" fontId="3" fillId="0" borderId="0" xfId="0" applyFont="1" applyAlignment="1">
      <alignment horizontal="right"/>
    </xf>
    <xf numFmtId="1" fontId="43" fillId="0" borderId="0" xfId="0" applyNumberFormat="1" applyFont="1" applyAlignment="1">
      <alignment horizontal="left"/>
    </xf>
    <xf numFmtId="0" fontId="18" fillId="0" borderId="0" xfId="0" applyFont="1" applyAlignment="1">
      <alignment vertical="center"/>
    </xf>
    <xf numFmtId="0" fontId="24" fillId="0" borderId="0" xfId="0" applyFont="1"/>
    <xf numFmtId="0" fontId="54" fillId="0" borderId="0" xfId="0" applyFont="1"/>
    <xf numFmtId="0" fontId="2" fillId="4" borderId="0" xfId="0" applyFont="1" applyFill="1" applyAlignment="1">
      <alignment horizontal="right"/>
    </xf>
    <xf numFmtId="0" fontId="56" fillId="0" borderId="0" xfId="0" applyFont="1"/>
    <xf numFmtId="0" fontId="2" fillId="4" borderId="0" xfId="0" applyFont="1" applyFill="1"/>
    <xf numFmtId="0" fontId="2" fillId="4" borderId="15" xfId="0" applyFont="1" applyFill="1" applyBorder="1"/>
    <xf numFmtId="0" fontId="57" fillId="0" borderId="0" xfId="0" applyFont="1"/>
    <xf numFmtId="1" fontId="35" fillId="0" borderId="5" xfId="0" applyNumberFormat="1" applyFont="1" applyBorder="1"/>
    <xf numFmtId="1" fontId="4" fillId="0" borderId="21" xfId="0" applyNumberFormat="1" applyFont="1" applyBorder="1"/>
    <xf numFmtId="1" fontId="18" fillId="0" borderId="0" xfId="0" applyNumberFormat="1" applyFont="1"/>
    <xf numFmtId="0" fontId="16" fillId="0" borderId="0" xfId="0" applyFont="1" applyAlignment="1">
      <alignment vertical="top"/>
    </xf>
    <xf numFmtId="0" fontId="13" fillId="0" borderId="0" xfId="0" applyFont="1" applyAlignment="1">
      <alignment vertical="top"/>
    </xf>
    <xf numFmtId="1" fontId="18" fillId="0" borderId="16" xfId="0" applyNumberFormat="1" applyFont="1" applyBorder="1"/>
    <xf numFmtId="0" fontId="43" fillId="0" borderId="0" xfId="0" applyFont="1" applyAlignment="1">
      <alignment horizontal="center"/>
    </xf>
    <xf numFmtId="15" fontId="21" fillId="0" borderId="0" xfId="1" applyNumberFormat="1" applyFont="1" applyAlignment="1">
      <alignment horizontal="center"/>
    </xf>
    <xf numFmtId="0" fontId="58" fillId="0" borderId="0" xfId="0" applyFont="1" applyAlignment="1">
      <alignment horizontal="center"/>
    </xf>
    <xf numFmtId="1" fontId="2" fillId="4" borderId="18" xfId="0" applyNumberFormat="1" applyFont="1" applyFill="1" applyBorder="1"/>
    <xf numFmtId="15" fontId="51" fillId="0" borderId="0" xfId="1" applyNumberFormat="1" applyFont="1" applyAlignment="1">
      <alignment horizontal="center"/>
    </xf>
    <xf numFmtId="0" fontId="59" fillId="0" borderId="6" xfId="0" applyFont="1" applyBorder="1" applyAlignment="1">
      <alignment horizontal="center" shrinkToFit="1"/>
    </xf>
    <xf numFmtId="15" fontId="6" fillId="0" borderId="0" xfId="1" applyNumberFormat="1" applyFont="1" applyAlignment="1">
      <alignment horizontal="center"/>
    </xf>
    <xf numFmtId="15" fontId="60" fillId="0" borderId="0" xfId="0" applyNumberFormat="1" applyFont="1" applyAlignment="1">
      <alignment horizontal="center"/>
    </xf>
    <xf numFmtId="0" fontId="6" fillId="0" borderId="0" xfId="0" applyFont="1" applyAlignment="1">
      <alignment horizontal="left"/>
    </xf>
    <xf numFmtId="0" fontId="6"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vertical="top"/>
    </xf>
    <xf numFmtId="0" fontId="2" fillId="0" borderId="18" xfId="0" applyFont="1" applyBorder="1"/>
    <xf numFmtId="0" fontId="2" fillId="4" borderId="15" xfId="0" applyFont="1" applyFill="1" applyBorder="1" applyAlignment="1">
      <alignment horizontal="right"/>
    </xf>
    <xf numFmtId="0" fontId="2" fillId="0" borderId="0" xfId="0" applyFont="1" applyAlignment="1">
      <alignment horizontal="left"/>
    </xf>
    <xf numFmtId="0" fontId="2" fillId="4" borderId="18" xfId="0" applyFont="1" applyFill="1" applyBorder="1" applyAlignment="1">
      <alignment horizontal="right"/>
    </xf>
    <xf numFmtId="0" fontId="58" fillId="0" borderId="0" xfId="0" applyFont="1"/>
    <xf numFmtId="0" fontId="2" fillId="0" borderId="22" xfId="0" applyFont="1" applyBorder="1"/>
    <xf numFmtId="1" fontId="2" fillId="7" borderId="18" xfId="0" applyNumberFormat="1" applyFont="1" applyFill="1" applyBorder="1"/>
    <xf numFmtId="0" fontId="61" fillId="0" borderId="23" xfId="0" applyFont="1" applyBorder="1" applyAlignment="1">
      <alignment horizontal="center"/>
    </xf>
    <xf numFmtId="1" fontId="2" fillId="0" borderId="22" xfId="0" applyNumberFormat="1" applyFont="1" applyBorder="1"/>
    <xf numFmtId="0" fontId="32" fillId="0" borderId="0" xfId="0" applyFont="1" applyAlignment="1">
      <alignment horizontal="right"/>
    </xf>
    <xf numFmtId="17" fontId="62" fillId="0" borderId="24" xfId="0" applyNumberFormat="1" applyFont="1" applyBorder="1" applyAlignment="1">
      <alignment horizontal="center"/>
    </xf>
    <xf numFmtId="0" fontId="35" fillId="0" borderId="1" xfId="0" applyFont="1" applyBorder="1" applyAlignment="1">
      <alignment horizontal="right" vertical="center"/>
    </xf>
    <xf numFmtId="0" fontId="63" fillId="0" borderId="0" xfId="0" applyFont="1"/>
    <xf numFmtId="0" fontId="64" fillId="2" borderId="25" xfId="0" applyFont="1" applyFill="1" applyBorder="1" applyAlignment="1">
      <alignment horizontal="center"/>
    </xf>
    <xf numFmtId="1" fontId="2" fillId="0" borderId="26" xfId="0" applyNumberFormat="1" applyFont="1" applyBorder="1"/>
    <xf numFmtId="17" fontId="21" fillId="0" borderId="23" xfId="0" applyNumberFormat="1" applyFont="1" applyBorder="1" applyAlignment="1">
      <alignment horizontal="center"/>
    </xf>
    <xf numFmtId="0" fontId="3" fillId="0" borderId="24" xfId="0" applyFont="1" applyBorder="1" applyAlignment="1">
      <alignment horizontal="center"/>
    </xf>
    <xf numFmtId="1" fontId="2" fillId="7" borderId="22" xfId="0" applyNumberFormat="1" applyFont="1" applyFill="1" applyBorder="1"/>
    <xf numFmtId="15" fontId="50" fillId="0" borderId="24" xfId="0" applyNumberFormat="1" applyFont="1" applyBorder="1" applyAlignment="1">
      <alignment horizontal="center"/>
    </xf>
    <xf numFmtId="0" fontId="50" fillId="0" borderId="24" xfId="0" applyFont="1" applyBorder="1" applyAlignment="1">
      <alignment horizontal="center"/>
    </xf>
    <xf numFmtId="0" fontId="65" fillId="0" borderId="5" xfId="0" applyFont="1" applyBorder="1" applyAlignment="1">
      <alignment horizontal="center"/>
    </xf>
    <xf numFmtId="0" fontId="65" fillId="0" borderId="0" xfId="0" applyFont="1" applyAlignment="1">
      <alignment horizontal="center"/>
    </xf>
    <xf numFmtId="1" fontId="3" fillId="0" borderId="6" xfId="0" applyNumberFormat="1" applyFont="1" applyBorder="1" applyAlignment="1">
      <alignment shrinkToFit="1"/>
    </xf>
    <xf numFmtId="15" fontId="13" fillId="0" borderId="24" xfId="0" applyNumberFormat="1" applyFont="1" applyBorder="1" applyAlignment="1">
      <alignment horizontal="center"/>
    </xf>
    <xf numFmtId="1" fontId="19" fillId="8" borderId="3" xfId="0" applyNumberFormat="1" applyFont="1" applyFill="1" applyBorder="1" applyAlignment="1">
      <alignment horizontal="center" shrinkToFit="1"/>
    </xf>
    <xf numFmtId="15" fontId="50" fillId="0" borderId="2" xfId="1" applyNumberFormat="1" applyFont="1" applyBorder="1" applyAlignment="1">
      <alignment horizontal="center"/>
    </xf>
    <xf numFmtId="0" fontId="7" fillId="0" borderId="2" xfId="0" applyFont="1" applyBorder="1" applyAlignment="1">
      <alignment horizontal="center"/>
    </xf>
    <xf numFmtId="0" fontId="3" fillId="0" borderId="2" xfId="1" applyFont="1" applyBorder="1" applyAlignment="1">
      <alignment horizontal="center"/>
    </xf>
    <xf numFmtId="0" fontId="24" fillId="0" borderId="2" xfId="1" applyFont="1" applyBorder="1" applyAlignment="1">
      <alignment horizontal="center"/>
    </xf>
    <xf numFmtId="0" fontId="66" fillId="0" borderId="2" xfId="1" applyFont="1" applyBorder="1" applyAlignment="1">
      <alignment horizontal="center" shrinkToFit="1"/>
    </xf>
    <xf numFmtId="0" fontId="66" fillId="0" borderId="4" xfId="1" applyFont="1" applyBorder="1" applyAlignment="1">
      <alignment horizontal="center" shrinkToFit="1"/>
    </xf>
    <xf numFmtId="0" fontId="67" fillId="0" borderId="0" xfId="0" applyFont="1"/>
    <xf numFmtId="0" fontId="13" fillId="0" borderId="25" xfId="0" applyFont="1" applyBorder="1" applyAlignment="1">
      <alignment horizontal="center"/>
    </xf>
    <xf numFmtId="0" fontId="48" fillId="0" borderId="0" xfId="0" applyFont="1" applyAlignment="1">
      <alignment horizontal="center"/>
    </xf>
    <xf numFmtId="0" fontId="48" fillId="0" borderId="6" xfId="0" applyFont="1" applyBorder="1" applyAlignment="1">
      <alignment horizontal="center"/>
    </xf>
    <xf numFmtId="0" fontId="67" fillId="0" borderId="7" xfId="1" applyFont="1" applyBorder="1" applyAlignment="1">
      <alignment horizontal="center"/>
    </xf>
    <xf numFmtId="0" fontId="67" fillId="0" borderId="8" xfId="1" applyFont="1" applyBorder="1" applyAlignment="1">
      <alignment horizontal="center"/>
    </xf>
    <xf numFmtId="0" fontId="68" fillId="0" borderId="8" xfId="1" applyFont="1" applyBorder="1" applyAlignment="1">
      <alignment horizontal="center" shrinkToFit="1"/>
    </xf>
    <xf numFmtId="0" fontId="68" fillId="0" borderId="9" xfId="1" applyFont="1" applyBorder="1" applyAlignment="1">
      <alignment horizontal="center" shrinkToFit="1"/>
    </xf>
  </cellXfs>
  <cellStyles count="3">
    <cellStyle name="Normal" xfId="0" builtinId="0"/>
    <cellStyle name="Normal 2 2" xfId="1" xr:uid="{A4575B88-47A3-4D38-B77D-77229F02C135}"/>
    <cellStyle name="Percent 2" xfId="2" xr:uid="{23B2C898-7146-4750-BB41-CE34D77C8CC8}"/>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3380-1E73-4CB7-8FEF-625A4E157A20}">
  <sheetPr>
    <pageSetUpPr fitToPage="1"/>
  </sheetPr>
  <dimension ref="A1:N137"/>
  <sheetViews>
    <sheetView showZeros="0" tabSelected="1" topLeftCell="A19" zoomScale="120" workbookViewId="0">
      <selection activeCell="E34" sqref="E34"/>
    </sheetView>
  </sheetViews>
  <sheetFormatPr defaultColWidth="9.109375" defaultRowHeight="15" customHeight="1" x14ac:dyDescent="0.25"/>
  <cols>
    <col min="1" max="1" width="3.6640625" style="2" customWidth="1"/>
    <col min="2" max="2" width="10.5546875" style="1" customWidth="1"/>
    <col min="3" max="3" width="11.21875" style="1" customWidth="1"/>
    <col min="4" max="4" width="12.6640625" style="1" customWidth="1"/>
    <col min="5" max="5" width="14.88671875" style="1" customWidth="1"/>
    <col min="6" max="6" width="10.44140625" style="1" customWidth="1"/>
    <col min="7" max="7" width="12.109375" style="1" customWidth="1"/>
    <col min="8" max="8" width="12.6640625" style="1" customWidth="1"/>
    <col min="9" max="9" width="3.44140625" style="1" customWidth="1"/>
    <col min="10" max="10" width="8.88671875" style="1" customWidth="1"/>
    <col min="11" max="11" width="29.44140625" style="1" customWidth="1"/>
    <col min="12" max="12" width="9.6640625" style="1" customWidth="1"/>
    <col min="13" max="13" width="10.44140625" style="1" customWidth="1"/>
    <col min="14" max="14" width="10.21875" style="1" customWidth="1"/>
    <col min="15" max="15" width="8" style="1" customWidth="1"/>
    <col min="16" max="16384" width="9.109375" style="1"/>
  </cols>
  <sheetData>
    <row r="1" spans="1:14" s="262" customFormat="1" ht="14.25" customHeight="1" x14ac:dyDescent="0.3">
      <c r="A1" s="269" t="s">
        <v>216</v>
      </c>
      <c r="B1" s="268"/>
      <c r="C1" s="268"/>
      <c r="D1" s="267" t="s">
        <v>215</v>
      </c>
      <c r="E1" s="267"/>
      <c r="F1" s="267"/>
      <c r="G1" s="267"/>
      <c r="H1" s="267"/>
      <c r="I1" s="266"/>
      <c r="J1" s="265" t="s">
        <v>214</v>
      </c>
      <c r="K1" s="264"/>
      <c r="L1" s="264"/>
      <c r="M1" s="71" t="s">
        <v>213</v>
      </c>
      <c r="N1" s="263" t="s">
        <v>212</v>
      </c>
    </row>
    <row r="2" spans="1:14" s="1" customFormat="1" ht="15" customHeight="1" thickBot="1" x14ac:dyDescent="0.3">
      <c r="A2" s="261" t="s">
        <v>211</v>
      </c>
      <c r="B2" s="260"/>
      <c r="C2" s="260"/>
      <c r="D2" s="259" t="s">
        <v>210</v>
      </c>
      <c r="E2" s="258" t="s">
        <v>209</v>
      </c>
      <c r="F2" s="257" t="s">
        <v>208</v>
      </c>
      <c r="G2" s="257"/>
      <c r="H2" s="256">
        <v>31600</v>
      </c>
      <c r="I2" s="255">
        <f>IF(H2&lt;22008,"Sr",0)</f>
        <v>0</v>
      </c>
      <c r="J2" s="221"/>
      <c r="K2" s="157" t="s">
        <v>52</v>
      </c>
      <c r="L2" s="1">
        <v>8600000</v>
      </c>
      <c r="N2" s="254">
        <v>44815</v>
      </c>
    </row>
    <row r="3" spans="1:14" s="1" customFormat="1" ht="15" customHeight="1" x14ac:dyDescent="0.25">
      <c r="A3" s="253"/>
      <c r="B3" s="167" t="s">
        <v>207</v>
      </c>
      <c r="G3" s="236"/>
      <c r="H3" s="252" t="s">
        <v>206</v>
      </c>
      <c r="I3" s="251"/>
      <c r="J3" s="235" t="s">
        <v>205</v>
      </c>
      <c r="K3" s="1" t="s">
        <v>46</v>
      </c>
      <c r="L3" s="1">
        <v>12000</v>
      </c>
      <c r="M3" s="1">
        <v>11000</v>
      </c>
      <c r="N3" s="250" t="s">
        <v>204</v>
      </c>
    </row>
    <row r="4" spans="1:14" s="1" customFormat="1" ht="15" customHeight="1" x14ac:dyDescent="0.25">
      <c r="A4" s="100"/>
      <c r="B4" s="159" t="s">
        <v>203</v>
      </c>
      <c r="C4" s="117" t="s">
        <v>202</v>
      </c>
      <c r="G4" s="248">
        <f>+L8</f>
        <v>8683400</v>
      </c>
      <c r="H4" s="215"/>
      <c r="I4" s="154"/>
      <c r="J4" s="235" t="s">
        <v>201</v>
      </c>
      <c r="K4" s="1" t="s">
        <v>44</v>
      </c>
      <c r="L4" s="1">
        <v>29000</v>
      </c>
      <c r="M4" s="1">
        <v>20000</v>
      </c>
      <c r="N4" s="249">
        <v>44773</v>
      </c>
    </row>
    <row r="5" spans="1:14" s="1" customFormat="1" ht="15" customHeight="1" x14ac:dyDescent="0.25">
      <c r="A5" s="100"/>
      <c r="B5" s="159" t="s">
        <v>200</v>
      </c>
      <c r="C5" s="117" t="s">
        <v>199</v>
      </c>
      <c r="G5" s="248">
        <f>+L9</f>
        <v>34000</v>
      </c>
      <c r="H5" s="215"/>
      <c r="I5" s="154"/>
      <c r="J5" s="235" t="s">
        <v>198</v>
      </c>
      <c r="K5" s="1" t="s">
        <v>197</v>
      </c>
      <c r="L5" s="1">
        <v>2400</v>
      </c>
      <c r="M5" s="1">
        <v>2400</v>
      </c>
      <c r="N5" s="247" t="s">
        <v>196</v>
      </c>
    </row>
    <row r="6" spans="1:14" s="1" customFormat="1" ht="15" customHeight="1" thickBot="1" x14ac:dyDescent="0.3">
      <c r="A6" s="100"/>
      <c r="B6" s="159" t="s">
        <v>195</v>
      </c>
      <c r="C6" s="117" t="s">
        <v>194</v>
      </c>
      <c r="G6" s="237"/>
      <c r="H6" s="215"/>
      <c r="I6" s="154"/>
      <c r="J6" s="235"/>
      <c r="K6" s="1" t="s">
        <v>193</v>
      </c>
      <c r="L6" s="1">
        <v>34000</v>
      </c>
      <c r="N6" s="246">
        <v>44835</v>
      </c>
    </row>
    <row r="7" spans="1:14" s="1" customFormat="1" ht="15" customHeight="1" x14ac:dyDescent="0.25">
      <c r="A7" s="100"/>
      <c r="B7" s="167"/>
      <c r="C7" s="117"/>
      <c r="F7" s="240" t="s">
        <v>192</v>
      </c>
      <c r="G7" s="245">
        <f>G4+G5+G6</f>
        <v>8717400</v>
      </c>
      <c r="H7" s="215"/>
      <c r="I7" s="154"/>
      <c r="J7" s="235"/>
      <c r="K7" s="1" t="s">
        <v>191</v>
      </c>
      <c r="L7" s="1">
        <v>6000</v>
      </c>
      <c r="M7" s="188"/>
      <c r="N7" s="244" t="s">
        <v>190</v>
      </c>
    </row>
    <row r="8" spans="1:14" s="1" customFormat="1" ht="15" customHeight="1" thickBot="1" x14ac:dyDescent="0.3">
      <c r="A8" s="100"/>
      <c r="B8" s="243" t="s">
        <v>189</v>
      </c>
      <c r="C8" s="117" t="s">
        <v>188</v>
      </c>
      <c r="G8" s="237">
        <f>M9+M4+M3+M5</f>
        <v>63400</v>
      </c>
      <c r="H8" s="215"/>
      <c r="I8" s="154"/>
      <c r="J8" s="235"/>
      <c r="L8" s="242">
        <f>SUM(L2:L7)</f>
        <v>8683400</v>
      </c>
      <c r="M8" s="242">
        <f>SUM(M2:M7)</f>
        <v>33400</v>
      </c>
      <c r="N8" s="241" t="s">
        <v>187</v>
      </c>
    </row>
    <row r="9" spans="1:14" s="1" customFormat="1" ht="15" customHeight="1" thickTop="1" thickBot="1" x14ac:dyDescent="0.3">
      <c r="A9" s="100"/>
      <c r="B9" s="167"/>
      <c r="F9" s="240" t="s">
        <v>186</v>
      </c>
      <c r="G9" s="239">
        <f>G7-G8</f>
        <v>8654000</v>
      </c>
      <c r="H9" s="215"/>
      <c r="I9" s="154"/>
      <c r="J9" s="221" t="s">
        <v>185</v>
      </c>
      <c r="K9" s="157" t="s">
        <v>184</v>
      </c>
      <c r="L9" s="1">
        <v>34000</v>
      </c>
      <c r="M9" s="1">
        <v>30000</v>
      </c>
      <c r="N9" s="238">
        <v>5000</v>
      </c>
    </row>
    <row r="10" spans="1:14" s="1" customFormat="1" ht="15" customHeight="1" x14ac:dyDescent="0.25">
      <c r="A10" s="100"/>
      <c r="B10" s="159" t="s">
        <v>183</v>
      </c>
      <c r="C10" s="102" t="s">
        <v>182</v>
      </c>
      <c r="G10" s="237">
        <v>50000</v>
      </c>
      <c r="H10" s="215">
        <f>G9-G10</f>
        <v>8604000</v>
      </c>
      <c r="I10" s="154"/>
      <c r="J10" s="221"/>
    </row>
    <row r="11" spans="1:14" s="1" customFormat="1" ht="21" customHeight="1" x14ac:dyDescent="0.25">
      <c r="A11" s="100"/>
      <c r="B11" s="167" t="s">
        <v>181</v>
      </c>
      <c r="E11" s="206" t="s">
        <v>180</v>
      </c>
      <c r="G11" s="236"/>
      <c r="H11" s="215"/>
      <c r="I11" s="154"/>
      <c r="J11" s="235"/>
    </row>
    <row r="12" spans="1:14" s="1" customFormat="1" ht="15" customHeight="1" x14ac:dyDescent="0.25">
      <c r="A12" s="100"/>
      <c r="C12" s="227" t="s">
        <v>179</v>
      </c>
      <c r="D12" s="117"/>
      <c r="E12" s="233"/>
      <c r="F12" s="71"/>
      <c r="G12" s="208">
        <f>+M13</f>
        <v>2140000</v>
      </c>
      <c r="H12" s="155"/>
      <c r="I12" s="154"/>
    </row>
    <row r="13" spans="1:14" s="1" customFormat="1" ht="15" customHeight="1" x14ac:dyDescent="0.25">
      <c r="A13" s="100"/>
      <c r="C13" s="115" t="s">
        <v>178</v>
      </c>
      <c r="D13" s="117"/>
      <c r="E13" s="233"/>
      <c r="F13" s="71"/>
      <c r="G13" s="234">
        <f>+M14</f>
        <v>80000</v>
      </c>
      <c r="H13" s="155"/>
      <c r="I13" s="154"/>
      <c r="K13" s="1" t="s">
        <v>177</v>
      </c>
      <c r="M13" s="1">
        <v>2140000</v>
      </c>
    </row>
    <row r="14" spans="1:14" s="1" customFormat="1" ht="15" customHeight="1" x14ac:dyDescent="0.25">
      <c r="A14" s="100"/>
      <c r="C14" s="115"/>
      <c r="D14" s="117"/>
      <c r="E14" s="233"/>
      <c r="F14" s="71"/>
      <c r="G14" s="188">
        <f>G12-G13</f>
        <v>2060000</v>
      </c>
      <c r="H14" s="155"/>
      <c r="I14" s="154"/>
      <c r="K14" s="1" t="s">
        <v>176</v>
      </c>
      <c r="M14" s="1">
        <v>80000</v>
      </c>
    </row>
    <row r="15" spans="1:14" s="1" customFormat="1" ht="15" customHeight="1" x14ac:dyDescent="0.25">
      <c r="A15" s="100"/>
      <c r="B15" s="159" t="s">
        <v>175</v>
      </c>
      <c r="C15" s="102" t="s">
        <v>174</v>
      </c>
      <c r="D15" s="117"/>
      <c r="E15" s="102" t="s">
        <v>173</v>
      </c>
      <c r="F15" s="188">
        <f>G14*0.3</f>
        <v>618000</v>
      </c>
      <c r="H15" s="155"/>
      <c r="I15" s="154"/>
      <c r="K15" s="1" t="s">
        <v>172</v>
      </c>
      <c r="M15" s="1">
        <v>510000</v>
      </c>
    </row>
    <row r="16" spans="1:14" s="1" customFormat="1" ht="15" customHeight="1" x14ac:dyDescent="0.25">
      <c r="A16" s="100"/>
      <c r="C16" s="115"/>
      <c r="D16" s="117"/>
      <c r="E16" s="102" t="s">
        <v>171</v>
      </c>
      <c r="F16" s="232">
        <f>+M15</f>
        <v>510000</v>
      </c>
      <c r="G16" s="231">
        <f>F15+F16</f>
        <v>1128000</v>
      </c>
      <c r="H16" s="155"/>
      <c r="I16" s="154"/>
      <c r="K16" s="102" t="s">
        <v>170</v>
      </c>
      <c r="L16" s="230"/>
      <c r="N16" s="1">
        <v>74000</v>
      </c>
    </row>
    <row r="17" spans="1:13" s="1" customFormat="1" ht="15" customHeight="1" x14ac:dyDescent="0.25">
      <c r="A17" s="100"/>
      <c r="C17" s="227"/>
      <c r="D17" s="117"/>
      <c r="F17" s="71"/>
      <c r="G17" s="229">
        <f>G14-G16</f>
        <v>932000</v>
      </c>
      <c r="H17" s="155"/>
      <c r="I17" s="154"/>
    </row>
    <row r="18" spans="1:13" s="1" customFormat="1" ht="15" customHeight="1" x14ac:dyDescent="0.25">
      <c r="A18" s="100"/>
      <c r="F18" s="228" t="s">
        <v>169</v>
      </c>
      <c r="G18" s="195">
        <f>+N16</f>
        <v>74000</v>
      </c>
      <c r="H18" s="155">
        <f>G17-G18</f>
        <v>858000</v>
      </c>
      <c r="I18" s="154"/>
    </row>
    <row r="19" spans="1:13" s="1" customFormat="1" ht="15" customHeight="1" x14ac:dyDescent="0.25">
      <c r="A19" s="100"/>
      <c r="B19" s="167" t="s">
        <v>168</v>
      </c>
      <c r="H19" s="155"/>
      <c r="I19" s="154"/>
    </row>
    <row r="20" spans="1:13" s="1" customFormat="1" ht="15" customHeight="1" x14ac:dyDescent="0.25">
      <c r="A20" s="100"/>
      <c r="C20" s="102" t="s">
        <v>167</v>
      </c>
      <c r="G20" s="210"/>
      <c r="H20" s="155"/>
      <c r="I20" s="154"/>
    </row>
    <row r="21" spans="1:13" s="1" customFormat="1" ht="15" customHeight="1" x14ac:dyDescent="0.25">
      <c r="A21" s="100"/>
      <c r="C21" s="102" t="s">
        <v>166</v>
      </c>
      <c r="G21" s="211"/>
      <c r="H21" s="155">
        <f>G20+G21</f>
        <v>0</v>
      </c>
      <c r="I21" s="154"/>
    </row>
    <row r="22" spans="1:13" s="1" customFormat="1" ht="15" customHeight="1" x14ac:dyDescent="0.25">
      <c r="A22" s="100"/>
      <c r="B22" s="167" t="s">
        <v>165</v>
      </c>
      <c r="H22" s="155"/>
      <c r="I22" s="154"/>
    </row>
    <row r="23" spans="1:13" s="1" customFormat="1" ht="15" customHeight="1" x14ac:dyDescent="0.25">
      <c r="A23" s="100"/>
      <c r="B23" s="219"/>
      <c r="C23" s="227" t="s">
        <v>164</v>
      </c>
      <c r="D23" s="159"/>
      <c r="E23" s="159"/>
      <c r="F23" s="102"/>
      <c r="G23" s="210">
        <f>+L23</f>
        <v>132930</v>
      </c>
      <c r="H23" s="155"/>
      <c r="I23" s="154"/>
      <c r="K23" s="1" t="s">
        <v>164</v>
      </c>
      <c r="L23" s="1">
        <v>132930</v>
      </c>
    </row>
    <row r="24" spans="1:13" s="1" customFormat="1" ht="15" customHeight="1" x14ac:dyDescent="0.25">
      <c r="A24" s="100"/>
      <c r="B24" s="219"/>
      <c r="C24" s="227" t="str">
        <f>+K24</f>
        <v>Interest on Loan given  to Friend</v>
      </c>
      <c r="D24" s="159"/>
      <c r="E24" s="159"/>
      <c r="F24" s="102"/>
      <c r="G24" s="210">
        <f>+L24</f>
        <v>18700</v>
      </c>
      <c r="H24" s="155"/>
      <c r="I24" s="154"/>
      <c r="K24" s="1" t="s">
        <v>163</v>
      </c>
      <c r="L24" s="1">
        <v>18700</v>
      </c>
    </row>
    <row r="25" spans="1:13" s="1" customFormat="1" ht="15" customHeight="1" x14ac:dyDescent="0.25">
      <c r="A25" s="100"/>
      <c r="B25" s="219"/>
      <c r="C25" s="227" t="str">
        <f>+K25</f>
        <v>Accrued Intt on NSCs (01-01-19)</v>
      </c>
      <c r="D25" s="159"/>
      <c r="E25" s="159"/>
      <c r="F25" s="102"/>
      <c r="G25" s="210">
        <f>+L25</f>
        <v>2200</v>
      </c>
      <c r="H25" s="155"/>
      <c r="I25" s="154"/>
      <c r="K25" s="1" t="s">
        <v>162</v>
      </c>
      <c r="L25" s="1">
        <f>25000*0.088</f>
        <v>2200</v>
      </c>
    </row>
    <row r="26" spans="1:13" s="1" customFormat="1" ht="15" customHeight="1" x14ac:dyDescent="0.25">
      <c r="A26" s="100"/>
      <c r="B26" s="226">
        <f>+M26</f>
        <v>44362</v>
      </c>
      <c r="C26" s="115" t="str">
        <f>+K26</f>
        <v xml:space="preserve">Dividend (No TDS) </v>
      </c>
      <c r="D26" s="159"/>
      <c r="E26" s="159"/>
      <c r="F26" s="102"/>
      <c r="G26" s="156">
        <f>+L26</f>
        <v>4700</v>
      </c>
      <c r="H26" s="155"/>
      <c r="I26" s="154"/>
      <c r="K26" s="131" t="s">
        <v>161</v>
      </c>
      <c r="L26" s="131">
        <v>4700</v>
      </c>
      <c r="M26" s="225">
        <v>44362</v>
      </c>
    </row>
    <row r="27" spans="1:13" s="1" customFormat="1" ht="15" customHeight="1" x14ac:dyDescent="0.25">
      <c r="A27" s="100"/>
      <c r="B27" s="219"/>
      <c r="C27" s="115" t="str">
        <f>+K27</f>
        <v xml:space="preserve">Intt on Income Tax Refund </v>
      </c>
      <c r="D27" s="159"/>
      <c r="E27" s="159"/>
      <c r="F27" s="102"/>
      <c r="G27" s="156">
        <f>+L27</f>
        <v>11250</v>
      </c>
      <c r="H27" s="155"/>
      <c r="I27" s="154"/>
      <c r="K27" s="1" t="s">
        <v>160</v>
      </c>
      <c r="L27" s="1">
        <v>11250</v>
      </c>
      <c r="M27" s="225">
        <v>44567</v>
      </c>
    </row>
    <row r="28" spans="1:13" s="1" customFormat="1" ht="15" customHeight="1" x14ac:dyDescent="0.25">
      <c r="A28" s="224"/>
      <c r="B28" s="223">
        <f>+M28</f>
        <v>44485</v>
      </c>
      <c r="C28" s="1" t="s">
        <v>159</v>
      </c>
      <c r="G28" s="222">
        <f>L28/70*100</f>
        <v>50000</v>
      </c>
      <c r="H28" s="155">
        <f>SUM(G23:G28)</f>
        <v>219780</v>
      </c>
      <c r="I28" s="154"/>
      <c r="J28" s="221" t="s">
        <v>158</v>
      </c>
      <c r="K28" s="1" t="s">
        <v>157</v>
      </c>
      <c r="L28" s="1">
        <v>35000</v>
      </c>
      <c r="M28" s="220">
        <v>44485</v>
      </c>
    </row>
    <row r="29" spans="1:13" s="1" customFormat="1" ht="15" customHeight="1" x14ac:dyDescent="0.25">
      <c r="A29" s="100"/>
      <c r="B29" s="219"/>
      <c r="G29" s="157"/>
      <c r="H29" s="155"/>
      <c r="I29" s="218"/>
      <c r="K29" s="217"/>
      <c r="L29" s="216"/>
    </row>
    <row r="30" spans="1:13" s="1" customFormat="1" ht="15" customHeight="1" x14ac:dyDescent="0.25">
      <c r="A30" s="100"/>
      <c r="B30" s="167" t="s">
        <v>156</v>
      </c>
      <c r="E30" s="71"/>
      <c r="F30" s="71"/>
      <c r="G30" s="215"/>
      <c r="H30" s="214">
        <f>SUM(H4:H29)</f>
        <v>9681780</v>
      </c>
      <c r="I30" s="213"/>
    </row>
    <row r="31" spans="1:13" s="1" customFormat="1" ht="15" customHeight="1" x14ac:dyDescent="0.25">
      <c r="A31" s="100"/>
      <c r="B31" s="212" t="s">
        <v>155</v>
      </c>
      <c r="H31" s="155"/>
      <c r="I31" s="154"/>
      <c r="K31" s="207"/>
      <c r="L31" s="207"/>
    </row>
    <row r="32" spans="1:13" s="1" customFormat="1" ht="15" customHeight="1" x14ac:dyDescent="0.25">
      <c r="A32" s="100"/>
      <c r="B32" s="209"/>
      <c r="C32" s="206" t="s">
        <v>154</v>
      </c>
      <c r="D32" s="102" t="str">
        <f>+K32</f>
        <v>Prov Fund</v>
      </c>
      <c r="F32" s="210">
        <f>+M32</f>
        <v>110000</v>
      </c>
      <c r="H32" s="155"/>
      <c r="I32" s="154"/>
      <c r="K32" s="207" t="s">
        <v>153</v>
      </c>
      <c r="M32" s="207">
        <v>110000</v>
      </c>
    </row>
    <row r="33" spans="1:13" s="1" customFormat="1" ht="15" customHeight="1" x14ac:dyDescent="0.25">
      <c r="A33" s="100"/>
      <c r="B33" s="209"/>
      <c r="C33" s="206"/>
      <c r="D33" s="102" t="str">
        <f>+K25</f>
        <v>Accrued Intt on NSCs (01-01-19)</v>
      </c>
      <c r="F33" s="211">
        <f>+G25</f>
        <v>2200</v>
      </c>
      <c r="G33" s="210">
        <f>F32+F33</f>
        <v>112200</v>
      </c>
      <c r="H33" s="155"/>
      <c r="I33" s="154"/>
      <c r="K33" s="207" t="str">
        <f>+K25</f>
        <v>Accrued Intt on NSCs (01-01-19)</v>
      </c>
      <c r="M33" s="207">
        <f>+L25</f>
        <v>2200</v>
      </c>
    </row>
    <row r="34" spans="1:13" s="1" customFormat="1" ht="15" customHeight="1" x14ac:dyDescent="0.25">
      <c r="A34" s="100"/>
      <c r="B34" s="209"/>
      <c r="C34" s="206" t="s">
        <v>152</v>
      </c>
      <c r="F34" s="172"/>
      <c r="G34" s="210">
        <f>+M34</f>
        <v>20000</v>
      </c>
      <c r="H34" s="155"/>
      <c r="I34" s="154"/>
      <c r="K34" s="207" t="s">
        <v>151</v>
      </c>
      <c r="M34" s="207">
        <v>20000</v>
      </c>
    </row>
    <row r="35" spans="1:13" s="1" customFormat="1" ht="15" customHeight="1" x14ac:dyDescent="0.25">
      <c r="A35" s="100"/>
      <c r="B35" s="209"/>
      <c r="C35" s="206" t="s">
        <v>150</v>
      </c>
      <c r="D35" s="102" t="s">
        <v>149</v>
      </c>
      <c r="F35" s="172"/>
      <c r="G35" s="208" t="s">
        <v>148</v>
      </c>
      <c r="H35" s="155"/>
      <c r="I35" s="154"/>
      <c r="K35" s="207" t="s">
        <v>147</v>
      </c>
      <c r="M35" s="1">
        <v>48000</v>
      </c>
    </row>
    <row r="36" spans="1:13" s="1" customFormat="1" ht="15" customHeight="1" x14ac:dyDescent="0.25">
      <c r="A36" s="197">
        <f>+I2</f>
        <v>0</v>
      </c>
      <c r="C36" s="206" t="s">
        <v>146</v>
      </c>
      <c r="D36" s="102" t="s">
        <v>145</v>
      </c>
      <c r="E36" s="71"/>
      <c r="F36" s="71"/>
      <c r="G36" s="195">
        <v>10000</v>
      </c>
      <c r="H36" s="155">
        <f>SUM(G32:G36)</f>
        <v>142200</v>
      </c>
      <c r="I36" s="154"/>
    </row>
    <row r="37" spans="1:13" s="1" customFormat="1" ht="15" customHeight="1" thickBot="1" x14ac:dyDescent="0.3">
      <c r="A37" s="100"/>
      <c r="B37" s="205" t="s">
        <v>144</v>
      </c>
      <c r="E37" s="204">
        <f>IF((H30-H36)&lt;0,0,(H30-H36))</f>
        <v>9539580</v>
      </c>
      <c r="F37" s="182" t="s">
        <v>143</v>
      </c>
      <c r="G37" s="203"/>
      <c r="H37" s="202">
        <f>ROUND((E37/10),0)*10</f>
        <v>9539580</v>
      </c>
      <c r="I37" s="201"/>
      <c r="K37" s="172" t="s">
        <v>142</v>
      </c>
    </row>
    <row r="38" spans="1:13" s="1" customFormat="1" ht="15" customHeight="1" thickTop="1" x14ac:dyDescent="0.25">
      <c r="A38" s="100"/>
      <c r="B38" s="172" t="s">
        <v>141</v>
      </c>
      <c r="E38" s="199" t="s">
        <v>140</v>
      </c>
      <c r="F38" s="200" t="s">
        <v>139</v>
      </c>
      <c r="G38" s="199" t="s">
        <v>138</v>
      </c>
      <c r="H38" s="198"/>
      <c r="I38" s="122"/>
      <c r="K38" s="193" t="s">
        <v>137</v>
      </c>
      <c r="L38" s="141">
        <v>0.05</v>
      </c>
      <c r="M38" s="1">
        <f>250000*5%</f>
        <v>12500</v>
      </c>
    </row>
    <row r="39" spans="1:13" s="1" customFormat="1" ht="15" customHeight="1" x14ac:dyDescent="0.25">
      <c r="A39" s="100"/>
      <c r="B39" s="2"/>
      <c r="C39" s="102" t="s">
        <v>136</v>
      </c>
      <c r="E39" s="157">
        <f>H37-E40</f>
        <v>9489580</v>
      </c>
      <c r="F39" s="180"/>
      <c r="G39" s="1">
        <f>IF(+I2="Sr",ROUND(IF(E39&gt;1000000,(((E39-1000000)*0.3)+110000),IF(E39&gt;500000,(((E39-500000)*0.2)+10000),IF(E39&gt;300000,((E39-300000)*0.05),0))),0),ROUND(IF(E39&gt;1000000,(((E39-1000000)*0.3)+112500),IF(E39&gt;500000,(((E39-500000)*0.2)+12500),IF(E39&gt;250000,((E39-250000)*0.05),0))),0))</f>
        <v>2659374</v>
      </c>
      <c r="H39" s="198"/>
      <c r="I39" s="122"/>
      <c r="K39" s="193" t="s">
        <v>135</v>
      </c>
      <c r="L39" s="141">
        <v>0.2</v>
      </c>
      <c r="M39" s="1">
        <f>500000*20%</f>
        <v>100000</v>
      </c>
    </row>
    <row r="40" spans="1:13" s="1" customFormat="1" ht="15" customHeight="1" x14ac:dyDescent="0.25">
      <c r="A40" s="100"/>
      <c r="B40" s="197" t="s">
        <v>134</v>
      </c>
      <c r="C40" s="102" t="s">
        <v>133</v>
      </c>
      <c r="E40" s="156">
        <f>+G28</f>
        <v>50000</v>
      </c>
      <c r="F40" s="196">
        <v>0.3</v>
      </c>
      <c r="G40" s="195">
        <f>ROUND(E40*F40,0)</f>
        <v>15000</v>
      </c>
      <c r="H40" s="194"/>
      <c r="I40" s="79"/>
      <c r="K40" s="193" t="s">
        <v>132</v>
      </c>
      <c r="L40" s="141">
        <v>0.3</v>
      </c>
      <c r="M40" s="1">
        <f>ROUND((E39-1000000)*30%,0)</f>
        <v>2546874</v>
      </c>
    </row>
    <row r="41" spans="1:13" s="1" customFormat="1" ht="15" customHeight="1" thickBot="1" x14ac:dyDescent="0.3">
      <c r="A41" s="100"/>
      <c r="D41" s="180"/>
      <c r="E41" s="71"/>
      <c r="G41" s="188">
        <f>G39+G40</f>
        <v>2674374</v>
      </c>
      <c r="H41" s="178"/>
      <c r="I41" s="177"/>
      <c r="M41" s="192">
        <f>SUM(M38:M40)</f>
        <v>2659374</v>
      </c>
    </row>
    <row r="42" spans="1:13" s="1" customFormat="1" ht="15" customHeight="1" thickTop="1" x14ac:dyDescent="0.25">
      <c r="A42" s="100"/>
      <c r="B42" s="102" t="s">
        <v>131</v>
      </c>
      <c r="C42" s="102" t="s">
        <v>130</v>
      </c>
      <c r="D42" s="180"/>
      <c r="E42" s="71"/>
      <c r="G42" s="191">
        <f>IF(H37&gt;350000,0,IF(G41&gt;2500,2500,G41))</f>
        <v>0</v>
      </c>
      <c r="H42" s="187">
        <f>G41-G42</f>
        <v>2674374</v>
      </c>
      <c r="I42" s="186"/>
    </row>
    <row r="43" spans="1:13" s="1" customFormat="1" ht="15" customHeight="1" x14ac:dyDescent="0.25">
      <c r="A43" s="100"/>
      <c r="B43" s="1" t="s">
        <v>129</v>
      </c>
      <c r="C43" s="102"/>
      <c r="D43" s="180"/>
      <c r="E43" s="71"/>
      <c r="G43" s="185">
        <v>0.1</v>
      </c>
      <c r="H43" s="184">
        <f>IF(H37&gt;10000000,H42*15%,IF(H37&gt;5000000,H42*10%,0))</f>
        <v>267437.40000000002</v>
      </c>
      <c r="I43" s="183"/>
      <c r="K43" s="190" t="s">
        <v>128</v>
      </c>
      <c r="L43" s="189" t="s">
        <v>127</v>
      </c>
    </row>
    <row r="44" spans="1:13" s="1" customFormat="1" ht="15" customHeight="1" x14ac:dyDescent="0.25">
      <c r="A44" s="100"/>
      <c r="C44" s="102"/>
      <c r="D44" s="180"/>
      <c r="E44" s="71"/>
      <c r="G44" s="188"/>
      <c r="H44" s="187">
        <f>H42+H43</f>
        <v>2941811.4</v>
      </c>
      <c r="I44" s="186"/>
      <c r="K44" s="169" t="s">
        <v>126</v>
      </c>
      <c r="L44" s="181">
        <v>7000000</v>
      </c>
    </row>
    <row r="45" spans="1:13" s="1" customFormat="1" ht="15" customHeight="1" x14ac:dyDescent="0.25">
      <c r="A45" s="100"/>
      <c r="B45" s="102" t="s">
        <v>125</v>
      </c>
      <c r="D45" s="180"/>
      <c r="E45" s="71"/>
      <c r="G45" s="185">
        <v>0.04</v>
      </c>
      <c r="H45" s="184">
        <f>ROUND((H44)*0.04,0)</f>
        <v>117672</v>
      </c>
      <c r="I45" s="183"/>
      <c r="K45" s="169" t="s">
        <v>124</v>
      </c>
      <c r="L45" s="181">
        <v>650000</v>
      </c>
    </row>
    <row r="46" spans="1:13" s="1" customFormat="1" ht="15" customHeight="1" x14ac:dyDescent="0.25">
      <c r="A46" s="100"/>
      <c r="B46" s="172" t="s">
        <v>123</v>
      </c>
      <c r="D46" s="180"/>
      <c r="E46" s="182"/>
      <c r="G46" s="71"/>
      <c r="H46" s="178">
        <f>SUM(H44:H45)</f>
        <v>3059483.4</v>
      </c>
      <c r="I46" s="177"/>
      <c r="J46" s="176"/>
      <c r="K46" s="169" t="s">
        <v>122</v>
      </c>
      <c r="L46" s="181">
        <v>203000</v>
      </c>
    </row>
    <row r="47" spans="1:13" s="1" customFormat="1" ht="15" customHeight="1" thickBot="1" x14ac:dyDescent="0.35">
      <c r="A47" s="100"/>
      <c r="B47" s="102" t="s">
        <v>121</v>
      </c>
      <c r="D47" s="180"/>
      <c r="E47" s="179" t="s">
        <v>120</v>
      </c>
      <c r="G47" s="171"/>
      <c r="H47" s="178">
        <f>110214-1020</f>
        <v>109194</v>
      </c>
      <c r="I47" s="177"/>
      <c r="J47" s="176"/>
      <c r="K47" s="169"/>
      <c r="L47" s="175">
        <f>SUM(L44:L46)</f>
        <v>7853000</v>
      </c>
    </row>
    <row r="48" spans="1:13" s="1" customFormat="1" ht="15" customHeight="1" thickTop="1" x14ac:dyDescent="0.25">
      <c r="A48" s="100"/>
      <c r="B48" s="102" t="s">
        <v>119</v>
      </c>
      <c r="C48" s="71"/>
      <c r="D48" s="71"/>
      <c r="E48" s="71" t="s">
        <v>118</v>
      </c>
      <c r="G48" s="171"/>
      <c r="H48" s="174">
        <v>5000</v>
      </c>
      <c r="I48" s="173"/>
      <c r="J48" s="102"/>
      <c r="K48" s="169" t="s">
        <v>117</v>
      </c>
      <c r="L48" s="168">
        <v>2000</v>
      </c>
    </row>
    <row r="49" spans="1:14" s="1" customFormat="1" ht="15" customHeight="1" x14ac:dyDescent="0.25">
      <c r="A49" s="100"/>
      <c r="B49" s="172" t="s">
        <v>116</v>
      </c>
      <c r="C49" s="71"/>
      <c r="D49" s="71"/>
      <c r="E49" s="71"/>
      <c r="G49" s="171"/>
      <c r="H49" s="170">
        <f>H46+H47+H48</f>
        <v>3173677.4</v>
      </c>
      <c r="I49" s="154"/>
      <c r="J49" s="102"/>
      <c r="K49" s="169"/>
      <c r="L49" s="168"/>
    </row>
    <row r="50" spans="1:14" s="1" customFormat="1" ht="15" customHeight="1" x14ac:dyDescent="0.25">
      <c r="A50" s="100"/>
      <c r="B50" s="167" t="s">
        <v>115</v>
      </c>
      <c r="C50" s="71"/>
      <c r="D50" s="71"/>
      <c r="E50" s="71"/>
      <c r="F50" s="71"/>
      <c r="G50" s="71"/>
      <c r="H50" s="155"/>
      <c r="I50" s="154"/>
    </row>
    <row r="51" spans="1:14" s="1" customFormat="1" ht="15" customHeight="1" x14ac:dyDescent="0.3">
      <c r="A51" s="100"/>
      <c r="B51" s="166">
        <v>44668</v>
      </c>
      <c r="C51" s="165" t="s">
        <v>114</v>
      </c>
      <c r="D51" s="165"/>
      <c r="E51" s="165"/>
      <c r="F51" s="164"/>
      <c r="G51" s="156">
        <v>34000</v>
      </c>
      <c r="H51" s="155"/>
      <c r="I51" s="154"/>
      <c r="K51" s="163" t="s">
        <v>113</v>
      </c>
    </row>
    <row r="52" spans="1:14" s="1" customFormat="1" ht="15" customHeight="1" x14ac:dyDescent="0.3">
      <c r="A52" s="100"/>
      <c r="B52" s="161"/>
      <c r="C52" s="160" t="s">
        <v>112</v>
      </c>
      <c r="D52" s="160"/>
      <c r="E52" s="160" t="s">
        <v>111</v>
      </c>
      <c r="F52" s="160"/>
      <c r="G52" s="156">
        <v>2310000</v>
      </c>
      <c r="H52" s="155"/>
      <c r="I52" s="154"/>
      <c r="K52" s="1" t="s">
        <v>110</v>
      </c>
      <c r="L52" s="157">
        <f>+H10</f>
        <v>8604000</v>
      </c>
      <c r="N52" s="162"/>
    </row>
    <row r="53" spans="1:14" s="1" customFormat="1" ht="15" customHeight="1" x14ac:dyDescent="0.3">
      <c r="A53" s="100"/>
      <c r="B53" s="161"/>
      <c r="C53" s="160" t="s">
        <v>109</v>
      </c>
      <c r="D53" s="160"/>
      <c r="E53" s="160" t="s">
        <v>108</v>
      </c>
      <c r="F53" s="160"/>
      <c r="G53" s="156">
        <v>15000</v>
      </c>
      <c r="H53" s="155"/>
      <c r="I53" s="154"/>
      <c r="K53" s="159" t="s">
        <v>107</v>
      </c>
      <c r="L53" s="158">
        <f>F32+G34</f>
        <v>130000</v>
      </c>
      <c r="M53" s="157">
        <f>L52-L53</f>
        <v>8474000</v>
      </c>
    </row>
    <row r="54" spans="1:14" s="1" customFormat="1" ht="15" customHeight="1" x14ac:dyDescent="0.25">
      <c r="A54" s="100"/>
      <c r="G54" s="156"/>
      <c r="H54" s="155">
        <f>SUM(G51:G54)</f>
        <v>2359000</v>
      </c>
      <c r="I54" s="154"/>
      <c r="K54" s="142" t="s">
        <v>106</v>
      </c>
      <c r="M54" s="1">
        <f>112500+(M53-1000000)*0.3</f>
        <v>2354700</v>
      </c>
    </row>
    <row r="55" spans="1:14" s="1" customFormat="1" ht="15" customHeight="1" thickBot="1" x14ac:dyDescent="0.3">
      <c r="A55" s="153"/>
      <c r="B55" s="152" t="str">
        <f>IF(H55=0,"TAX  PAYABLE / REFUND ",IF(H55&lt;0,"REFUND","TAX  PAYABLE including Interest"))</f>
        <v>TAX  PAYABLE including Interest</v>
      </c>
      <c r="C55" s="151"/>
      <c r="D55" s="150"/>
      <c r="E55" s="150"/>
      <c r="F55" s="149" t="s">
        <v>105</v>
      </c>
      <c r="G55" s="148"/>
      <c r="H55" s="147">
        <f>ROUND((H49-H54)/10,0)*10</f>
        <v>814680</v>
      </c>
      <c r="I55" s="146"/>
      <c r="K55" s="142" t="s">
        <v>104</v>
      </c>
      <c r="L55" s="141">
        <v>0.1</v>
      </c>
      <c r="M55" s="1">
        <f>M54*L55</f>
        <v>235470</v>
      </c>
    </row>
    <row r="56" spans="1:14" s="1" customFormat="1" ht="15" customHeight="1" x14ac:dyDescent="0.25">
      <c r="A56" s="145" t="s">
        <v>103</v>
      </c>
      <c r="B56" s="144"/>
      <c r="C56" s="144"/>
      <c r="D56" s="144"/>
      <c r="E56" s="144"/>
      <c r="F56" s="144"/>
      <c r="G56" s="144"/>
      <c r="H56" s="144"/>
      <c r="I56" s="143"/>
      <c r="K56" s="142" t="s">
        <v>102</v>
      </c>
      <c r="L56" s="141">
        <v>0.04</v>
      </c>
      <c r="M56" s="1">
        <f>ROUND((M55+M54)*0.04,0)</f>
        <v>103607</v>
      </c>
    </row>
    <row r="57" spans="1:14" s="1" customFormat="1" ht="15" customHeight="1" thickBot="1" x14ac:dyDescent="0.3">
      <c r="A57" s="140"/>
      <c r="B57" s="139"/>
      <c r="C57" s="138" t="s">
        <v>101</v>
      </c>
      <c r="D57" s="137"/>
      <c r="E57" s="136" t="s">
        <v>100</v>
      </c>
      <c r="F57" s="135" t="s">
        <v>99</v>
      </c>
      <c r="G57" s="135"/>
      <c r="H57" s="135"/>
      <c r="I57" s="134"/>
      <c r="M57" s="133">
        <f>SUM(M54:M56)</f>
        <v>2693777</v>
      </c>
    </row>
    <row r="58" spans="1:14" s="1" customFormat="1" ht="15" customHeight="1" thickBot="1" x14ac:dyDescent="0.3">
      <c r="A58" s="132"/>
      <c r="B58" s="132"/>
      <c r="C58" s="131"/>
      <c r="D58" s="130"/>
      <c r="E58" s="129"/>
      <c r="F58" s="128"/>
      <c r="G58" s="128"/>
      <c r="H58" s="128"/>
      <c r="I58" s="128"/>
      <c r="K58" s="127"/>
    </row>
    <row r="59" spans="1:14" s="102" customFormat="1" ht="15" customHeight="1" x14ac:dyDescent="0.25">
      <c r="A59" s="106" t="s">
        <v>75</v>
      </c>
      <c r="B59" s="126"/>
      <c r="C59" s="126"/>
      <c r="D59" s="126"/>
      <c r="E59" s="126"/>
      <c r="F59" s="126"/>
      <c r="G59" s="125" t="s">
        <v>98</v>
      </c>
      <c r="H59" s="124"/>
      <c r="J59" s="70"/>
      <c r="K59" s="123"/>
      <c r="L59" s="115"/>
    </row>
    <row r="60" spans="1:14" s="102" customFormat="1" ht="15" customHeight="1" x14ac:dyDescent="0.25">
      <c r="A60" s="101" t="s">
        <v>97</v>
      </c>
      <c r="H60" s="122"/>
      <c r="J60" s="70"/>
      <c r="K60" s="121"/>
      <c r="L60" s="115"/>
    </row>
    <row r="61" spans="1:14" s="102" customFormat="1" ht="15" customHeight="1" x14ac:dyDescent="0.25">
      <c r="A61" s="101" t="s">
        <v>96</v>
      </c>
      <c r="H61" s="122"/>
      <c r="J61" s="70"/>
      <c r="K61" s="121"/>
      <c r="L61" s="115"/>
    </row>
    <row r="62" spans="1:14" s="102" customFormat="1" ht="15" customHeight="1" x14ac:dyDescent="0.2">
      <c r="A62" s="120" t="s">
        <v>95</v>
      </c>
      <c r="B62" s="119" t="s">
        <v>94</v>
      </c>
      <c r="C62" s="119"/>
      <c r="D62" s="119"/>
      <c r="E62" s="119"/>
      <c r="F62" s="119"/>
      <c r="G62" s="119"/>
      <c r="H62" s="118"/>
      <c r="I62" s="117"/>
      <c r="J62" s="70"/>
      <c r="K62" s="116" t="s">
        <v>93</v>
      </c>
      <c r="L62" s="115"/>
    </row>
    <row r="63" spans="1:14" s="102" customFormat="1" ht="26.25" customHeight="1" x14ac:dyDescent="0.2">
      <c r="A63" s="120" t="s">
        <v>92</v>
      </c>
      <c r="B63" s="119" t="s">
        <v>91</v>
      </c>
      <c r="C63" s="119"/>
      <c r="D63" s="119"/>
      <c r="E63" s="119"/>
      <c r="F63" s="119"/>
      <c r="G63" s="119"/>
      <c r="H63" s="118"/>
      <c r="I63" s="117"/>
      <c r="J63" s="70"/>
      <c r="K63" s="116" t="s">
        <v>90</v>
      </c>
      <c r="L63" s="115"/>
    </row>
    <row r="64" spans="1:14" s="102" customFormat="1" ht="26.25" customHeight="1" x14ac:dyDescent="0.2">
      <c r="A64" s="120" t="s">
        <v>89</v>
      </c>
      <c r="B64" s="119" t="s">
        <v>88</v>
      </c>
      <c r="C64" s="119"/>
      <c r="D64" s="119"/>
      <c r="E64" s="119"/>
      <c r="F64" s="119"/>
      <c r="G64" s="119"/>
      <c r="H64" s="118"/>
      <c r="I64" s="117"/>
      <c r="J64" s="70"/>
      <c r="K64" s="116" t="s">
        <v>87</v>
      </c>
      <c r="L64" s="115"/>
    </row>
    <row r="65" spans="1:12" s="102" customFormat="1" ht="26.25" customHeight="1" x14ac:dyDescent="0.2">
      <c r="A65" s="120" t="s">
        <v>86</v>
      </c>
      <c r="B65" s="119" t="s">
        <v>85</v>
      </c>
      <c r="C65" s="119"/>
      <c r="D65" s="119"/>
      <c r="E65" s="119"/>
      <c r="F65" s="119"/>
      <c r="G65" s="119"/>
      <c r="H65" s="118"/>
      <c r="I65" s="117"/>
      <c r="J65" s="70"/>
      <c r="K65" s="116" t="s">
        <v>84</v>
      </c>
      <c r="L65" s="115"/>
    </row>
    <row r="66" spans="1:12" s="102" customFormat="1" ht="15" customHeight="1" x14ac:dyDescent="0.2">
      <c r="A66" s="120" t="s">
        <v>83</v>
      </c>
      <c r="B66" s="119" t="s">
        <v>82</v>
      </c>
      <c r="C66" s="119"/>
      <c r="D66" s="119"/>
      <c r="E66" s="119"/>
      <c r="F66" s="119"/>
      <c r="G66" s="119"/>
      <c r="H66" s="118"/>
      <c r="I66" s="117"/>
      <c r="J66" s="70"/>
      <c r="K66" s="116" t="s">
        <v>81</v>
      </c>
      <c r="L66" s="115"/>
    </row>
    <row r="67" spans="1:12" s="102" customFormat="1" ht="15" customHeight="1" x14ac:dyDescent="0.2">
      <c r="A67" s="120" t="s">
        <v>80</v>
      </c>
      <c r="B67" s="119" t="s">
        <v>79</v>
      </c>
      <c r="C67" s="119"/>
      <c r="D67" s="119"/>
      <c r="E67" s="119"/>
      <c r="F67" s="119"/>
      <c r="G67" s="119"/>
      <c r="H67" s="118"/>
      <c r="I67" s="117"/>
      <c r="J67" s="70"/>
      <c r="K67" s="116" t="s">
        <v>78</v>
      </c>
      <c r="L67" s="115"/>
    </row>
    <row r="68" spans="1:12" s="102" customFormat="1" ht="25.5" customHeight="1" x14ac:dyDescent="0.2">
      <c r="A68" s="114"/>
      <c r="B68" s="113" t="s">
        <v>77</v>
      </c>
      <c r="C68" s="113"/>
      <c r="D68" s="113"/>
      <c r="E68" s="113"/>
      <c r="F68" s="113"/>
      <c r="G68" s="113"/>
      <c r="H68" s="112"/>
      <c r="J68" s="70"/>
    </row>
    <row r="69" spans="1:12" s="102" customFormat="1" ht="15" customHeight="1" thickBot="1" x14ac:dyDescent="0.25">
      <c r="A69" s="111"/>
      <c r="B69" s="110" t="s">
        <v>76</v>
      </c>
      <c r="C69" s="110"/>
      <c r="D69" s="110"/>
      <c r="E69" s="110"/>
      <c r="F69" s="110"/>
      <c r="G69" s="110"/>
      <c r="H69" s="109"/>
      <c r="J69" s="70"/>
    </row>
    <row r="70" spans="1:12" s="102" customFormat="1" ht="15" customHeight="1" thickBot="1" x14ac:dyDescent="0.25">
      <c r="A70" s="108"/>
      <c r="B70" s="107"/>
      <c r="C70" s="107"/>
      <c r="D70" s="107"/>
      <c r="E70" s="107"/>
      <c r="F70" s="107"/>
      <c r="G70" s="107"/>
      <c r="J70" s="70"/>
    </row>
    <row r="71" spans="1:12" s="102" customFormat="1" ht="15" customHeight="1" x14ac:dyDescent="0.25">
      <c r="A71" s="106" t="s">
        <v>75</v>
      </c>
      <c r="B71" s="105"/>
      <c r="C71" s="105"/>
      <c r="D71" s="105"/>
      <c r="E71" s="105"/>
      <c r="F71" s="105"/>
      <c r="G71" s="104" t="s">
        <v>74</v>
      </c>
      <c r="H71" s="103"/>
      <c r="J71" s="70"/>
    </row>
    <row r="72" spans="1:12" s="1" customFormat="1" ht="15" customHeight="1" x14ac:dyDescent="0.25">
      <c r="A72" s="101" t="s">
        <v>73</v>
      </c>
      <c r="C72" s="73"/>
      <c r="D72" s="73"/>
      <c r="E72" s="73"/>
      <c r="F72" s="97"/>
      <c r="G72" s="96"/>
      <c r="H72" s="79"/>
      <c r="J72" s="70"/>
    </row>
    <row r="73" spans="1:12" s="1" customFormat="1" ht="15" customHeight="1" x14ac:dyDescent="0.25">
      <c r="A73" s="101" t="s">
        <v>72</v>
      </c>
      <c r="C73" s="73"/>
      <c r="D73" s="73"/>
      <c r="E73" s="73"/>
      <c r="F73" s="97"/>
      <c r="G73" s="96"/>
      <c r="H73" s="79"/>
      <c r="J73" s="70"/>
    </row>
    <row r="74" spans="1:12" s="1" customFormat="1" ht="15" customHeight="1" x14ac:dyDescent="0.25">
      <c r="A74" s="100"/>
      <c r="B74" s="98" t="s">
        <v>71</v>
      </c>
      <c r="D74" s="98" t="s">
        <v>70</v>
      </c>
      <c r="F74" s="97"/>
      <c r="G74" s="96"/>
      <c r="H74" s="79"/>
      <c r="J74" s="70"/>
    </row>
    <row r="75" spans="1:12" s="1" customFormat="1" ht="15" customHeight="1" x14ac:dyDescent="0.25">
      <c r="A75" s="100"/>
      <c r="B75" s="98" t="s">
        <v>69</v>
      </c>
      <c r="D75" s="98" t="s">
        <v>68</v>
      </c>
      <c r="F75" s="97"/>
      <c r="G75" s="96"/>
      <c r="H75" s="79"/>
      <c r="J75" s="70"/>
    </row>
    <row r="76" spans="1:12" s="1" customFormat="1" ht="15" customHeight="1" x14ac:dyDescent="0.25">
      <c r="A76" s="100"/>
      <c r="B76" s="98" t="s">
        <v>67</v>
      </c>
      <c r="D76" s="98" t="s">
        <v>66</v>
      </c>
      <c r="F76" s="97"/>
      <c r="G76" s="96"/>
      <c r="H76" s="79"/>
      <c r="J76" s="70"/>
    </row>
    <row r="77" spans="1:12" s="1" customFormat="1" ht="15" customHeight="1" x14ac:dyDescent="0.25">
      <c r="A77" s="100"/>
      <c r="B77" s="99" t="s">
        <v>65</v>
      </c>
      <c r="D77" s="98" t="s">
        <v>64</v>
      </c>
      <c r="F77" s="97"/>
      <c r="G77" s="96"/>
      <c r="H77" s="79"/>
      <c r="J77" s="70"/>
    </row>
    <row r="78" spans="1:12" s="1" customFormat="1" ht="15" customHeight="1" x14ac:dyDescent="0.25">
      <c r="A78" s="100"/>
      <c r="B78" s="98" t="s">
        <v>63</v>
      </c>
      <c r="D78" s="98" t="s">
        <v>62</v>
      </c>
      <c r="F78" s="97"/>
      <c r="G78" s="96"/>
      <c r="H78" s="79"/>
      <c r="J78" s="70"/>
    </row>
    <row r="79" spans="1:12" s="1" customFormat="1" ht="15" customHeight="1" x14ac:dyDescent="0.25">
      <c r="A79" s="100"/>
      <c r="B79" s="98" t="s">
        <v>61</v>
      </c>
      <c r="D79" s="98" t="s">
        <v>60</v>
      </c>
      <c r="F79" s="97"/>
      <c r="G79" s="96"/>
      <c r="H79" s="79"/>
      <c r="J79" s="71"/>
    </row>
    <row r="80" spans="1:12" s="1" customFormat="1" ht="15" customHeight="1" x14ac:dyDescent="0.25">
      <c r="A80" s="100"/>
      <c r="B80" s="99" t="s">
        <v>59</v>
      </c>
      <c r="D80" s="98" t="s">
        <v>58</v>
      </c>
      <c r="F80" s="97"/>
      <c r="G80" s="96"/>
      <c r="H80" s="79"/>
      <c r="J80" s="71"/>
    </row>
    <row r="81" spans="1:10" s="1" customFormat="1" ht="15" customHeight="1" thickBot="1" x14ac:dyDescent="0.3">
      <c r="A81" s="95"/>
      <c r="B81" s="94" t="s">
        <v>57</v>
      </c>
      <c r="C81" s="75"/>
      <c r="D81" s="94" t="s">
        <v>56</v>
      </c>
      <c r="E81" s="75"/>
      <c r="F81" s="75"/>
      <c r="G81" s="75"/>
      <c r="H81" s="74"/>
      <c r="J81" s="71"/>
    </row>
    <row r="82" spans="1:10" s="1" customFormat="1" ht="15" customHeight="1" thickBot="1" x14ac:dyDescent="0.3">
      <c r="A82" s="2"/>
      <c r="J82" s="71"/>
    </row>
    <row r="83" spans="1:10" s="1" customFormat="1" ht="15" customHeight="1" x14ac:dyDescent="0.25">
      <c r="A83" s="2"/>
      <c r="B83" s="93" t="s">
        <v>55</v>
      </c>
      <c r="C83" s="92"/>
      <c r="D83" s="91"/>
      <c r="E83" s="89" t="s">
        <v>54</v>
      </c>
      <c r="F83" s="90"/>
      <c r="G83" s="89" t="s">
        <v>53</v>
      </c>
      <c r="H83" s="88"/>
      <c r="J83" s="71"/>
    </row>
    <row r="84" spans="1:10" s="1" customFormat="1" ht="15" customHeight="1" x14ac:dyDescent="0.25">
      <c r="A84" s="2"/>
      <c r="B84" s="81" t="s">
        <v>52</v>
      </c>
      <c r="C84" s="83"/>
      <c r="D84" s="86"/>
      <c r="E84" s="87" t="s">
        <v>51</v>
      </c>
      <c r="G84" s="87" t="s">
        <v>50</v>
      </c>
      <c r="H84" s="79"/>
      <c r="J84" s="71"/>
    </row>
    <row r="85" spans="1:10" s="1" customFormat="1" ht="15" customHeight="1" x14ac:dyDescent="0.25">
      <c r="A85" s="2"/>
      <c r="B85" s="81" t="s">
        <v>49</v>
      </c>
      <c r="C85" s="83"/>
      <c r="D85" s="86"/>
      <c r="E85" s="87" t="s">
        <v>48</v>
      </c>
      <c r="G85" s="87" t="s">
        <v>47</v>
      </c>
      <c r="H85" s="79"/>
      <c r="J85" s="71"/>
    </row>
    <row r="86" spans="1:10" s="1" customFormat="1" ht="15" customHeight="1" x14ac:dyDescent="0.25">
      <c r="A86" s="2"/>
      <c r="B86" s="81" t="s">
        <v>46</v>
      </c>
      <c r="C86" s="83"/>
      <c r="D86" s="86"/>
      <c r="E86" s="87" t="s">
        <v>45</v>
      </c>
      <c r="H86" s="79"/>
      <c r="J86" s="71"/>
    </row>
    <row r="87" spans="1:10" s="1" customFormat="1" ht="15" customHeight="1" x14ac:dyDescent="0.25">
      <c r="A87" s="2"/>
      <c r="B87" s="81" t="s">
        <v>44</v>
      </c>
      <c r="C87" s="83"/>
      <c r="D87" s="86"/>
      <c r="E87" s="87" t="s">
        <v>43</v>
      </c>
      <c r="H87" s="79"/>
      <c r="J87" s="71"/>
    </row>
    <row r="88" spans="1:10" s="1" customFormat="1" ht="15" customHeight="1" x14ac:dyDescent="0.25">
      <c r="A88" s="2"/>
      <c r="B88" s="81" t="s">
        <v>42</v>
      </c>
      <c r="C88" s="83"/>
      <c r="D88" s="86"/>
      <c r="H88" s="79"/>
      <c r="J88" s="71"/>
    </row>
    <row r="89" spans="1:10" s="1" customFormat="1" ht="15" customHeight="1" x14ac:dyDescent="0.25">
      <c r="A89" s="2"/>
      <c r="B89" s="81" t="s">
        <v>41</v>
      </c>
      <c r="C89" s="83"/>
      <c r="D89" s="86"/>
      <c r="H89" s="79"/>
      <c r="J89" s="71"/>
    </row>
    <row r="90" spans="1:10" s="1" customFormat="1" ht="15" customHeight="1" x14ac:dyDescent="0.25">
      <c r="A90" s="2"/>
      <c r="B90" s="81" t="s">
        <v>40</v>
      </c>
      <c r="C90" s="83"/>
      <c r="D90" s="85">
        <f>SUM(C84:C90)</f>
        <v>0</v>
      </c>
      <c r="H90" s="79"/>
      <c r="J90" s="71"/>
    </row>
    <row r="91" spans="1:10" s="1" customFormat="1" ht="15" customHeight="1" x14ac:dyDescent="0.25">
      <c r="A91" s="2"/>
      <c r="B91" s="84" t="s">
        <v>39</v>
      </c>
      <c r="C91" s="83"/>
      <c r="D91" s="73"/>
      <c r="E91" s="82"/>
      <c r="H91" s="79"/>
      <c r="J91" s="71"/>
    </row>
    <row r="92" spans="1:10" s="1" customFormat="1" ht="15" customHeight="1" x14ac:dyDescent="0.25">
      <c r="A92" s="2"/>
      <c r="B92" s="81" t="s">
        <v>38</v>
      </c>
      <c r="C92" s="80"/>
      <c r="D92" s="73"/>
      <c r="H92" s="79"/>
      <c r="J92" s="71"/>
    </row>
    <row r="93" spans="1:10" s="1" customFormat="1" ht="15" customHeight="1" x14ac:dyDescent="0.25">
      <c r="A93" s="2"/>
      <c r="B93" s="81" t="s">
        <v>37</v>
      </c>
      <c r="C93" s="80"/>
      <c r="D93" s="73"/>
      <c r="H93" s="79"/>
      <c r="J93" s="71"/>
    </row>
    <row r="94" spans="1:10" s="1" customFormat="1" ht="15" customHeight="1" x14ac:dyDescent="0.25">
      <c r="A94" s="2"/>
      <c r="B94" s="81" t="s">
        <v>36</v>
      </c>
      <c r="C94" s="80"/>
      <c r="D94" s="73">
        <f>SUM(C92:C94)</f>
        <v>0</v>
      </c>
      <c r="H94" s="79"/>
      <c r="J94" s="71"/>
    </row>
    <row r="95" spans="1:10" s="1" customFormat="1" ht="15" customHeight="1" thickBot="1" x14ac:dyDescent="0.3">
      <c r="A95" s="2"/>
      <c r="B95" s="78" t="s">
        <v>35</v>
      </c>
      <c r="C95" s="77"/>
      <c r="D95" s="76"/>
      <c r="E95" s="75"/>
      <c r="F95" s="75"/>
      <c r="G95" s="75"/>
      <c r="H95" s="74"/>
      <c r="J95" s="71"/>
    </row>
    <row r="96" spans="1:10" s="1" customFormat="1" ht="15" customHeight="1" x14ac:dyDescent="0.25">
      <c r="A96" s="2"/>
      <c r="B96" s="73"/>
      <c r="D96" s="72">
        <f>D90+D94+D95</f>
        <v>0</v>
      </c>
      <c r="J96" s="71"/>
    </row>
    <row r="97" spans="1:11" s="1" customFormat="1" ht="15" customHeight="1" x14ac:dyDescent="0.25">
      <c r="A97" s="2"/>
      <c r="J97" s="70"/>
    </row>
    <row r="98" spans="1:11" s="1" customFormat="1" ht="15" customHeight="1" x14ac:dyDescent="0.25">
      <c r="A98" s="8"/>
      <c r="B98" s="69" t="s">
        <v>34</v>
      </c>
      <c r="C98" s="68"/>
      <c r="D98" s="68"/>
      <c r="E98" s="68"/>
      <c r="F98" s="68"/>
      <c r="G98" s="67" t="s">
        <v>33</v>
      </c>
      <c r="H98" s="66">
        <f>H110+H122+H132</f>
        <v>110214</v>
      </c>
      <c r="I98" s="4"/>
      <c r="J98" s="4"/>
      <c r="K98" s="4"/>
    </row>
    <row r="99" spans="1:11" s="1" customFormat="1" ht="15" customHeight="1" x14ac:dyDescent="0.25">
      <c r="A99" s="8"/>
      <c r="B99" s="25" t="s">
        <v>32</v>
      </c>
      <c r="C99" s="7"/>
      <c r="D99" s="7"/>
      <c r="E99" s="7"/>
      <c r="F99" s="7"/>
      <c r="G99" s="65"/>
      <c r="H99" s="64"/>
      <c r="I99" s="4"/>
      <c r="J99" s="4"/>
      <c r="K99" s="4"/>
    </row>
    <row r="100" spans="1:11" s="1" customFormat="1" ht="15" customHeight="1" x14ac:dyDescent="0.25">
      <c r="A100" s="8"/>
      <c r="B100" s="23" t="s">
        <v>11</v>
      </c>
      <c r="C100" s="7"/>
      <c r="D100" s="7"/>
      <c r="E100" s="47">
        <f>+H46-50000*0.3432</f>
        <v>3042323.4</v>
      </c>
      <c r="F100" s="4"/>
      <c r="G100" s="6">
        <f>+H46</f>
        <v>3059483.4</v>
      </c>
      <c r="H100" s="4"/>
      <c r="I100" s="4"/>
      <c r="J100" s="4"/>
      <c r="K100" s="4"/>
    </row>
    <row r="101" spans="1:11" s="1" customFormat="1" ht="15" customHeight="1" x14ac:dyDescent="0.25">
      <c r="A101" s="8"/>
      <c r="B101" s="23" t="s">
        <v>9</v>
      </c>
      <c r="C101" s="7"/>
      <c r="D101" s="7"/>
      <c r="E101" s="47">
        <f>(+G52+G53)*-1</f>
        <v>-2325000</v>
      </c>
      <c r="F101" s="4"/>
      <c r="G101" s="6">
        <f>+E101</f>
        <v>-2325000</v>
      </c>
      <c r="H101" s="4"/>
      <c r="I101" s="4"/>
      <c r="J101" s="4"/>
      <c r="K101" s="4"/>
    </row>
    <row r="102" spans="1:11" s="1" customFormat="1" ht="15" customHeight="1" thickBot="1" x14ac:dyDescent="0.3">
      <c r="A102" s="8"/>
      <c r="B102" s="23" t="s">
        <v>31</v>
      </c>
      <c r="C102" s="7"/>
      <c r="D102" s="7"/>
      <c r="E102" s="63">
        <f>SUM(E100:E101)</f>
        <v>717323.39999999991</v>
      </c>
      <c r="F102" s="4"/>
      <c r="G102" s="11">
        <f>G100+G101</f>
        <v>734483.39999999991</v>
      </c>
      <c r="H102" s="4"/>
      <c r="I102" s="48"/>
      <c r="J102" s="62"/>
      <c r="K102" s="61"/>
    </row>
    <row r="103" spans="1:11" s="1" customFormat="1" ht="15" customHeight="1" thickTop="1" x14ac:dyDescent="0.25">
      <c r="A103" s="8"/>
      <c r="B103" s="4"/>
      <c r="C103" s="7"/>
      <c r="D103" s="7"/>
      <c r="E103" s="47">
        <f>+E102</f>
        <v>717323.39999999991</v>
      </c>
      <c r="F103" s="4"/>
      <c r="G103" s="60">
        <f>IF(G102&gt;10000,G102,0)</f>
        <v>734483.39999999991</v>
      </c>
      <c r="H103" s="4"/>
      <c r="I103" s="4"/>
      <c r="J103" s="45"/>
      <c r="K103" s="4"/>
    </row>
    <row r="104" spans="1:11" s="1" customFormat="1" ht="19.2" customHeight="1" x14ac:dyDescent="0.25">
      <c r="A104" s="8"/>
      <c r="B104" s="59" t="s">
        <v>30</v>
      </c>
      <c r="C104" s="56" t="s">
        <v>29</v>
      </c>
      <c r="D104" s="56" t="s">
        <v>28</v>
      </c>
      <c r="E104" s="56" t="s">
        <v>27</v>
      </c>
      <c r="F104" s="58" t="s">
        <v>26</v>
      </c>
      <c r="G104" s="57" t="s">
        <v>25</v>
      </c>
      <c r="H104" s="56" t="s">
        <v>10</v>
      </c>
      <c r="I104" s="55" t="s">
        <v>8</v>
      </c>
      <c r="J104" s="55"/>
      <c r="K104" s="54" t="s">
        <v>24</v>
      </c>
    </row>
    <row r="105" spans="1:11" s="1" customFormat="1" ht="15" customHeight="1" x14ac:dyDescent="0.25">
      <c r="A105" s="53">
        <v>0.12</v>
      </c>
      <c r="B105" s="49"/>
      <c r="C105" s="6"/>
      <c r="D105" s="49">
        <v>44362</v>
      </c>
      <c r="E105" s="6">
        <f>E103*0.15</f>
        <v>107598.50999999998</v>
      </c>
      <c r="F105" s="6">
        <f>ROUNDDOWN(+E105,-2)</f>
        <v>107500</v>
      </c>
      <c r="G105" s="6">
        <f>(F105-C105)</f>
        <v>107500</v>
      </c>
      <c r="H105" s="12">
        <f>IF(G105&gt;0,G105*0.12/12*3,0)</f>
        <v>3225</v>
      </c>
      <c r="I105" s="4"/>
      <c r="J105" s="51" t="s">
        <v>23</v>
      </c>
      <c r="K105" s="50">
        <f>+H110</f>
        <v>36774</v>
      </c>
    </row>
    <row r="106" spans="1:11" s="1" customFormat="1" ht="15" customHeight="1" x14ac:dyDescent="0.25">
      <c r="A106" s="53">
        <v>0.36</v>
      </c>
      <c r="B106" s="49"/>
      <c r="C106" s="6"/>
      <c r="D106" s="49">
        <v>44454</v>
      </c>
      <c r="E106" s="6">
        <f>E103*0.45</f>
        <v>322795.52999999997</v>
      </c>
      <c r="F106" s="6">
        <f>ROUNDDOWN(+E106,-2)</f>
        <v>322700</v>
      </c>
      <c r="G106" s="6">
        <f>(F106-C106-C105)</f>
        <v>322700</v>
      </c>
      <c r="H106" s="12">
        <f>IF(G106&gt;0,G106*0.12/12*3,0)</f>
        <v>9681</v>
      </c>
      <c r="I106" s="4"/>
      <c r="J106" s="51" t="s">
        <v>5</v>
      </c>
      <c r="K106" s="50">
        <f>+K105</f>
        <v>36774</v>
      </c>
    </row>
    <row r="107" spans="1:11" s="1" customFormat="1" ht="15" customHeight="1" x14ac:dyDescent="0.25">
      <c r="A107" s="8"/>
      <c r="B107" s="52" t="s">
        <v>22</v>
      </c>
      <c r="C107" s="6"/>
      <c r="D107" s="49">
        <v>44545</v>
      </c>
      <c r="E107" s="6">
        <f>G103*0.75</f>
        <v>550862.54999999993</v>
      </c>
      <c r="F107" s="6">
        <f>ROUNDDOWN(+E107,-2)</f>
        <v>550800</v>
      </c>
      <c r="G107" s="6">
        <f>(F107-(C105+C106+C107))</f>
        <v>550800</v>
      </c>
      <c r="H107" s="12">
        <f>IF(G107&gt;0,G107*0.12/12*3,0)</f>
        <v>16524</v>
      </c>
      <c r="I107" s="4"/>
      <c r="J107" s="51" t="s">
        <v>3</v>
      </c>
      <c r="K107" s="50">
        <f>+K105</f>
        <v>36774</v>
      </c>
    </row>
    <row r="108" spans="1:11" s="1" customFormat="1" ht="15" customHeight="1" x14ac:dyDescent="0.25">
      <c r="A108" s="8"/>
      <c r="B108" s="49"/>
      <c r="C108" s="6"/>
      <c r="D108" s="49">
        <v>44635</v>
      </c>
      <c r="E108" s="6">
        <f>G103*1</f>
        <v>734483.39999999991</v>
      </c>
      <c r="F108" s="6">
        <f>ROUNDDOWN(+E108,-2)</f>
        <v>734400</v>
      </c>
      <c r="G108" s="6">
        <f>(F108-(C105+C106+C107+C108))</f>
        <v>734400</v>
      </c>
      <c r="H108" s="12">
        <f>IF(G108&gt;0,G108*0.12/12,0)</f>
        <v>7344</v>
      </c>
      <c r="I108" s="4"/>
      <c r="J108" s="45"/>
      <c r="K108" s="4"/>
    </row>
    <row r="109" spans="1:11" s="1" customFormat="1" ht="15" customHeight="1" x14ac:dyDescent="0.25">
      <c r="A109" s="8"/>
      <c r="B109" s="49"/>
      <c r="C109" s="6"/>
      <c r="D109" s="49">
        <v>44651</v>
      </c>
      <c r="E109" s="4"/>
      <c r="F109" s="48"/>
      <c r="G109" s="48"/>
      <c r="H109" s="47"/>
      <c r="I109" s="4"/>
      <c r="J109" s="45"/>
      <c r="K109" s="4"/>
    </row>
    <row r="110" spans="1:11" s="1" customFormat="1" ht="15" customHeight="1" thickBot="1" x14ac:dyDescent="0.3">
      <c r="A110" s="8"/>
      <c r="B110" s="7"/>
      <c r="C110" s="46">
        <f>SUM(C105:C109)</f>
        <v>0</v>
      </c>
      <c r="D110" s="7"/>
      <c r="E110" s="7"/>
      <c r="F110" s="7"/>
      <c r="G110" s="7"/>
      <c r="H110" s="9">
        <f>SUM(H105:H109)</f>
        <v>36774</v>
      </c>
      <c r="I110" s="4"/>
      <c r="J110" s="45"/>
      <c r="K110" s="4"/>
    </row>
    <row r="111" spans="1:11" s="1" customFormat="1" ht="15" customHeight="1" thickTop="1" thickBot="1" x14ac:dyDescent="0.3">
      <c r="A111" s="8"/>
      <c r="B111" s="27"/>
      <c r="C111" s="44"/>
      <c r="D111" s="27"/>
      <c r="E111" s="27"/>
      <c r="F111" s="27"/>
      <c r="G111" s="27"/>
      <c r="H111" s="27"/>
      <c r="I111" s="4"/>
      <c r="J111" s="4"/>
      <c r="K111" s="4"/>
    </row>
    <row r="112" spans="1:11" s="1" customFormat="1" ht="15" customHeight="1" x14ac:dyDescent="0.25">
      <c r="A112" s="8"/>
      <c r="B112" s="25" t="s">
        <v>21</v>
      </c>
      <c r="C112" s="37"/>
      <c r="D112" s="7"/>
      <c r="E112" s="7"/>
      <c r="F112" s="7"/>
      <c r="G112" s="7"/>
      <c r="H112" s="22" t="s">
        <v>10</v>
      </c>
      <c r="I112" s="4"/>
      <c r="J112" s="4"/>
      <c r="K112" s="4"/>
    </row>
    <row r="113" spans="1:11" s="1" customFormat="1" ht="15" customHeight="1" x14ac:dyDescent="0.25">
      <c r="A113" s="8"/>
      <c r="B113" s="23" t="s">
        <v>11</v>
      </c>
      <c r="C113" s="7"/>
      <c r="D113" s="7"/>
      <c r="E113" s="6">
        <f>+G100</f>
        <v>3059483.4</v>
      </c>
      <c r="F113" s="7"/>
      <c r="G113" s="13">
        <v>44652</v>
      </c>
      <c r="H113" s="12">
        <f>F123*0.01</f>
        <v>7344</v>
      </c>
      <c r="I113" s="4"/>
      <c r="J113" s="4"/>
      <c r="K113" s="4"/>
    </row>
    <row r="114" spans="1:11" s="1" customFormat="1" ht="15" customHeight="1" x14ac:dyDescent="0.25">
      <c r="A114" s="8"/>
      <c r="B114" s="15" t="s">
        <v>9</v>
      </c>
      <c r="C114" s="7"/>
      <c r="D114" s="7"/>
      <c r="E114" s="6">
        <f>+G101</f>
        <v>-2325000</v>
      </c>
      <c r="F114" s="7"/>
      <c r="G114" s="13">
        <v>44682</v>
      </c>
      <c r="H114" s="12">
        <f>+H113</f>
        <v>7344</v>
      </c>
      <c r="I114" s="4"/>
      <c r="J114" s="4"/>
      <c r="K114" s="4"/>
    </row>
    <row r="115" spans="1:11" s="1" customFormat="1" ht="15" customHeight="1" thickBot="1" x14ac:dyDescent="0.3">
      <c r="A115" s="8"/>
      <c r="B115" s="15"/>
      <c r="C115" s="7"/>
      <c r="D115" s="7"/>
      <c r="E115" s="11">
        <f>E113+E114</f>
        <v>734483.39999999991</v>
      </c>
      <c r="F115" s="4"/>
      <c r="G115" s="13">
        <v>44713</v>
      </c>
      <c r="H115" s="12">
        <f>+H114</f>
        <v>7344</v>
      </c>
      <c r="I115" s="43" t="s">
        <v>8</v>
      </c>
      <c r="J115" s="43"/>
      <c r="K115" s="42" t="s">
        <v>20</v>
      </c>
    </row>
    <row r="116" spans="1:11" s="1" customFormat="1" ht="15" customHeight="1" thickTop="1" x14ac:dyDescent="0.25">
      <c r="A116" s="8"/>
      <c r="B116" s="4"/>
      <c r="C116" s="4"/>
      <c r="D116" s="4"/>
      <c r="E116" s="4"/>
      <c r="F116" s="7"/>
      <c r="G116" s="13">
        <v>44743</v>
      </c>
      <c r="H116" s="12">
        <f>+H114</f>
        <v>7344</v>
      </c>
      <c r="I116" s="4"/>
      <c r="J116" s="39" t="s">
        <v>5</v>
      </c>
      <c r="K116" s="38">
        <f>51408+H119</f>
        <v>58752</v>
      </c>
    </row>
    <row r="117" spans="1:11" s="1" customFormat="1" ht="15" customHeight="1" x14ac:dyDescent="0.25">
      <c r="A117" s="8"/>
      <c r="B117" s="7" t="s">
        <v>19</v>
      </c>
      <c r="C117" s="37"/>
      <c r="D117" s="41">
        <v>0.9</v>
      </c>
      <c r="E117" s="40">
        <f>ROUND(E115*90%,0)</f>
        <v>661035</v>
      </c>
      <c r="F117" s="7"/>
      <c r="G117" s="13">
        <v>44774</v>
      </c>
      <c r="H117" s="12">
        <f>+H114</f>
        <v>7344</v>
      </c>
      <c r="I117" s="4"/>
      <c r="J117" s="39" t="s">
        <v>3</v>
      </c>
      <c r="K117" s="38">
        <f>K116+H113</f>
        <v>66096</v>
      </c>
    </row>
    <row r="118" spans="1:11" s="1" customFormat="1" ht="15" customHeight="1" x14ac:dyDescent="0.25">
      <c r="A118" s="8"/>
      <c r="B118" s="7" t="s">
        <v>18</v>
      </c>
      <c r="C118" s="37"/>
      <c r="D118" s="7"/>
      <c r="E118" s="6">
        <f>ROUND(+C110,0)</f>
        <v>0</v>
      </c>
      <c r="F118" s="7"/>
      <c r="G118" s="13">
        <v>44805</v>
      </c>
      <c r="H118" s="36">
        <f>+H117</f>
        <v>7344</v>
      </c>
      <c r="I118" s="5"/>
      <c r="J118" s="24"/>
      <c r="K118" s="4"/>
    </row>
    <row r="119" spans="1:11" s="1" customFormat="1" ht="15" customHeight="1" x14ac:dyDescent="0.25">
      <c r="A119" s="8"/>
      <c r="B119" s="4" t="s">
        <v>17</v>
      </c>
      <c r="C119" s="37"/>
      <c r="D119" s="7"/>
      <c r="E119" s="6">
        <f>E115-E118</f>
        <v>734483.39999999991</v>
      </c>
      <c r="F119" s="6">
        <f>ROUNDDOWN(E119,-2)</f>
        <v>734400</v>
      </c>
      <c r="G119" s="13">
        <v>44835</v>
      </c>
      <c r="H119" s="36">
        <f>+H118</f>
        <v>7344</v>
      </c>
      <c r="I119" s="5"/>
      <c r="J119" s="24"/>
      <c r="K119" s="4"/>
    </row>
    <row r="120" spans="1:11" s="1" customFormat="1" ht="15" customHeight="1" x14ac:dyDescent="0.25">
      <c r="A120" s="8"/>
      <c r="B120" s="35">
        <v>44303</v>
      </c>
      <c r="C120" s="7" t="s">
        <v>16</v>
      </c>
      <c r="D120" s="7"/>
      <c r="E120" s="33">
        <f>+G74</f>
        <v>0</v>
      </c>
      <c r="F120" s="7"/>
      <c r="G120" s="13">
        <v>44866</v>
      </c>
      <c r="H120" s="4"/>
      <c r="I120" s="5"/>
      <c r="J120" s="24"/>
      <c r="K120" s="4"/>
    </row>
    <row r="121" spans="1:11" s="1" customFormat="1" ht="15" customHeight="1" x14ac:dyDescent="0.25">
      <c r="A121" s="8"/>
      <c r="B121" s="4"/>
      <c r="C121" s="34" t="s">
        <v>15</v>
      </c>
      <c r="D121" s="4"/>
      <c r="E121" s="33">
        <v>34000</v>
      </c>
      <c r="F121" s="7"/>
      <c r="G121" s="13">
        <v>44896</v>
      </c>
      <c r="H121" s="24"/>
      <c r="I121" s="4"/>
      <c r="J121" s="4"/>
      <c r="K121" s="4"/>
    </row>
    <row r="122" spans="1:11" s="1" customFormat="1" ht="15" customHeight="1" thickBot="1" x14ac:dyDescent="0.3">
      <c r="A122" s="8"/>
      <c r="B122" s="4"/>
      <c r="C122" s="23" t="s">
        <v>14</v>
      </c>
      <c r="D122" s="4"/>
      <c r="E122" s="33">
        <f>E120-E121</f>
        <v>-34000</v>
      </c>
      <c r="F122" s="7"/>
      <c r="G122" s="7"/>
      <c r="H122" s="9">
        <f>SUM(H113:H121)</f>
        <v>51408</v>
      </c>
      <c r="I122" s="4"/>
      <c r="J122" s="4"/>
      <c r="K122" s="4"/>
    </row>
    <row r="123" spans="1:11" s="1" customFormat="1" ht="15" customHeight="1" thickTop="1" x14ac:dyDescent="0.25">
      <c r="A123" s="8"/>
      <c r="B123" s="4" t="s">
        <v>13</v>
      </c>
      <c r="C123" s="23"/>
      <c r="D123" s="4"/>
      <c r="E123" s="32">
        <f>+E119</f>
        <v>734483.39999999991</v>
      </c>
      <c r="F123" s="6">
        <f>ROUNDDOWN(E123,-2)</f>
        <v>734400</v>
      </c>
      <c r="G123" s="7"/>
      <c r="H123" s="24"/>
      <c r="I123" s="4"/>
      <c r="J123" s="4"/>
      <c r="K123" s="4"/>
    </row>
    <row r="124" spans="1:11" s="1" customFormat="1" ht="15" customHeight="1" thickBot="1" x14ac:dyDescent="0.3">
      <c r="A124" s="8"/>
      <c r="B124" s="30"/>
      <c r="C124" s="31"/>
      <c r="D124" s="30"/>
      <c r="E124" s="29"/>
      <c r="F124" s="28"/>
      <c r="G124" s="27"/>
      <c r="H124" s="26"/>
      <c r="I124" s="4"/>
      <c r="J124" s="4"/>
      <c r="K124" s="4"/>
    </row>
    <row r="125" spans="1:11" s="1" customFormat="1" ht="15" customHeight="1" x14ac:dyDescent="0.25">
      <c r="A125" s="8"/>
      <c r="B125" s="25" t="s">
        <v>12</v>
      </c>
      <c r="C125" s="5"/>
      <c r="D125" s="5"/>
      <c r="E125" s="5"/>
      <c r="F125" s="5"/>
      <c r="G125" s="5"/>
      <c r="H125" s="5"/>
      <c r="I125" s="5"/>
      <c r="J125" s="24"/>
      <c r="K125" s="4"/>
    </row>
    <row r="126" spans="1:11" s="1" customFormat="1" ht="15" customHeight="1" x14ac:dyDescent="0.25">
      <c r="A126" s="8"/>
      <c r="B126" s="23" t="s">
        <v>11</v>
      </c>
      <c r="C126" s="7"/>
      <c r="D126" s="7"/>
      <c r="E126" s="6">
        <f>+G100</f>
        <v>3059483.4</v>
      </c>
      <c r="F126" s="5"/>
      <c r="G126" s="7"/>
      <c r="H126" s="22" t="s">
        <v>10</v>
      </c>
      <c r="I126" s="21"/>
      <c r="J126" s="21"/>
      <c r="K126" s="20"/>
    </row>
    <row r="127" spans="1:11" s="1" customFormat="1" ht="15" customHeight="1" x14ac:dyDescent="0.25">
      <c r="A127" s="8"/>
      <c r="B127" s="15" t="s">
        <v>9</v>
      </c>
      <c r="C127" s="7"/>
      <c r="D127" s="7"/>
      <c r="E127" s="6">
        <f>+G101</f>
        <v>-2325000</v>
      </c>
      <c r="F127" s="5"/>
      <c r="G127" s="13">
        <v>44774</v>
      </c>
      <c r="H127" s="12">
        <f>E133*0.01</f>
        <v>7344</v>
      </c>
      <c r="I127" s="21" t="s">
        <v>8</v>
      </c>
      <c r="J127" s="21"/>
      <c r="K127" s="20" t="s">
        <v>7</v>
      </c>
    </row>
    <row r="128" spans="1:11" s="1" customFormat="1" ht="15" customHeight="1" x14ac:dyDescent="0.25">
      <c r="A128" s="8"/>
      <c r="B128" s="15" t="s">
        <v>6</v>
      </c>
      <c r="C128" s="7"/>
      <c r="D128" s="7"/>
      <c r="E128" s="6"/>
      <c r="F128" s="5"/>
      <c r="G128" s="13">
        <v>44805</v>
      </c>
      <c r="H128" s="12">
        <f>+H127</f>
        <v>7344</v>
      </c>
      <c r="I128" s="5"/>
      <c r="J128" s="18" t="s">
        <v>5</v>
      </c>
      <c r="K128" s="17">
        <f>22032+7344</f>
        <v>29376</v>
      </c>
    </row>
    <row r="129" spans="1:11" s="1" customFormat="1" ht="15" customHeight="1" x14ac:dyDescent="0.25">
      <c r="A129" s="8"/>
      <c r="B129" s="15" t="s">
        <v>4</v>
      </c>
      <c r="C129" s="7"/>
      <c r="D129" s="7"/>
      <c r="E129" s="19">
        <v>34000</v>
      </c>
      <c r="F129" s="5"/>
      <c r="G129" s="13">
        <v>44835</v>
      </c>
      <c r="H129" s="12">
        <f>+H128</f>
        <v>7344</v>
      </c>
      <c r="I129" s="5"/>
      <c r="J129" s="18" t="s">
        <v>3</v>
      </c>
      <c r="K129" s="17">
        <f>K128+H127</f>
        <v>36720</v>
      </c>
    </row>
    <row r="130" spans="1:11" s="1" customFormat="1" ht="15" customHeight="1" x14ac:dyDescent="0.25">
      <c r="A130" s="8"/>
      <c r="B130" s="15" t="s">
        <v>2</v>
      </c>
      <c r="C130" s="7"/>
      <c r="D130" s="7"/>
      <c r="E130" s="16"/>
      <c r="F130" s="5"/>
      <c r="G130" s="13">
        <v>44866</v>
      </c>
      <c r="H130" s="12"/>
      <c r="I130" s="4"/>
      <c r="J130" s="4"/>
      <c r="K130" s="4"/>
    </row>
    <row r="131" spans="1:11" s="1" customFormat="1" ht="15" customHeight="1" x14ac:dyDescent="0.25">
      <c r="A131" s="8"/>
      <c r="B131" s="15" t="s">
        <v>1</v>
      </c>
      <c r="C131" s="7"/>
      <c r="D131" s="7"/>
      <c r="E131" s="14">
        <v>-34000</v>
      </c>
      <c r="F131" s="5"/>
      <c r="G131" s="13">
        <v>44896</v>
      </c>
      <c r="H131" s="12"/>
      <c r="I131" s="4"/>
      <c r="J131" s="4"/>
      <c r="K131" s="4"/>
    </row>
    <row r="132" spans="1:11" s="1" customFormat="1" ht="15" customHeight="1" thickBot="1" x14ac:dyDescent="0.3">
      <c r="A132" s="8"/>
      <c r="B132" s="4"/>
      <c r="C132" s="4"/>
      <c r="D132" s="4"/>
      <c r="E132" s="11">
        <f>SUM(E126:E131)</f>
        <v>734483.39999999991</v>
      </c>
      <c r="F132" s="5"/>
      <c r="G132" s="10"/>
      <c r="H132" s="9">
        <f>SUM(H127:H131)</f>
        <v>22032</v>
      </c>
      <c r="I132" s="4"/>
      <c r="J132" s="4"/>
      <c r="K132" s="4"/>
    </row>
    <row r="133" spans="1:11" s="1" customFormat="1" ht="15" customHeight="1" thickTop="1" x14ac:dyDescent="0.25">
      <c r="A133" s="8"/>
      <c r="B133" s="4"/>
      <c r="C133" s="7"/>
      <c r="D133" s="7"/>
      <c r="E133" s="6">
        <f>ROUNDDOWN(+E132,-2)</f>
        <v>734400</v>
      </c>
      <c r="F133" s="5"/>
      <c r="G133" s="5"/>
      <c r="H133" s="5"/>
      <c r="I133" s="4"/>
      <c r="J133" s="4"/>
      <c r="K133" s="4"/>
    </row>
    <row r="135" spans="1:11" s="1" customFormat="1" ht="15" customHeight="1" x14ac:dyDescent="0.25">
      <c r="A135" s="2"/>
      <c r="H135" s="1">
        <v>110214</v>
      </c>
    </row>
    <row r="136" spans="1:11" s="1" customFormat="1" ht="15" customHeight="1" x14ac:dyDescent="0.25">
      <c r="A136" s="2"/>
      <c r="H136" s="1">
        <v>109194</v>
      </c>
      <c r="J136" s="1">
        <v>1020</v>
      </c>
      <c r="K136" s="1" t="s">
        <v>0</v>
      </c>
    </row>
    <row r="137" spans="1:11" s="1" customFormat="1" ht="15" customHeight="1" x14ac:dyDescent="0.25">
      <c r="A137" s="2"/>
      <c r="H137" s="3"/>
    </row>
  </sheetData>
  <mergeCells count="27">
    <mergeCell ref="A1:C1"/>
    <mergeCell ref="D1:H1"/>
    <mergeCell ref="J1:L1"/>
    <mergeCell ref="A2:C2"/>
    <mergeCell ref="F2:G2"/>
    <mergeCell ref="C51:E51"/>
    <mergeCell ref="C52:D52"/>
    <mergeCell ref="E52:F52"/>
    <mergeCell ref="C53:D53"/>
    <mergeCell ref="E53:F53"/>
    <mergeCell ref="A56:I56"/>
    <mergeCell ref="A57:B57"/>
    <mergeCell ref="F57:I57"/>
    <mergeCell ref="G59:H59"/>
    <mergeCell ref="B62:H62"/>
    <mergeCell ref="B63:H63"/>
    <mergeCell ref="B64:H64"/>
    <mergeCell ref="B65:H65"/>
    <mergeCell ref="B66:H66"/>
    <mergeCell ref="I126:J126"/>
    <mergeCell ref="I127:J127"/>
    <mergeCell ref="B67:H67"/>
    <mergeCell ref="B68:H68"/>
    <mergeCell ref="B69:G69"/>
    <mergeCell ref="G71:H71"/>
    <mergeCell ref="I104:J104"/>
    <mergeCell ref="I115:J115"/>
  </mergeCells>
  <conditionalFormatting sqref="F40">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 </vt:lpstr>
      <vt:lpstr>'5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2022-10-01T16:13:48Z</dcterms:created>
  <dcterms:modified xsi:type="dcterms:W3CDTF">2022-10-01T16:14:10Z</dcterms:modified>
</cp:coreProperties>
</file>